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 UNIDAD D\Daniel\DGE\DATOS\ESTADÍSTICAS\Fuente DGE\Prefinales 2020\8 Agosto\"/>
    </mc:Choice>
  </mc:AlternateContent>
  <bookViews>
    <workbookView xWindow="0" yWindow="0" windowWidth="20490" windowHeight="7755" activeTab="3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(G)'!$N$43:$O$67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52511"/>
</workbook>
</file>

<file path=xl/calcChain.xml><?xml version="1.0" encoding="utf-8"?>
<calcChain xmlns="http://schemas.openxmlformats.org/spreadsheetml/2006/main">
  <c r="F58" i="6" l="1"/>
  <c r="G13" i="1" l="1"/>
  <c r="I57" i="1"/>
  <c r="F57" i="1"/>
  <c r="H57" i="1"/>
  <c r="E57" i="1"/>
  <c r="F12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31" i="2" s="1"/>
  <c r="G28" i="2"/>
  <c r="D28" i="2" l="1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U61" i="1" l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3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3" i="1"/>
  <c r="F14" i="1"/>
  <c r="D56" i="6" s="1"/>
  <c r="F15" i="1"/>
  <c r="R25" i="1" l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25" i="1"/>
  <c r="G29" i="1"/>
  <c r="F32" i="1"/>
  <c r="E30" i="2" s="1"/>
  <c r="D17" i="1" l="1"/>
  <c r="G12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G14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<sst xmlns="http://schemas.openxmlformats.org/spreadsheetml/2006/main" count="308" uniqueCount="132">
  <si>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</si>
  <si>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</si>
  <si>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</si>
  <si>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</si>
  <si>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</si>
  <si>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</si>
  <si>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</si>
  <si>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</si>
  <si>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</si>
  <si>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</si>
  <si>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</si>
  <si>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</si>
  <si>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</si>
  <si>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</si>
  <si>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</si>
  <si>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</si>
  <si>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</si>
  <si>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</si>
  <si>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</si>
  <si>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</si>
  <si>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</si>
  <si>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</si>
  <si>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</si>
  <si>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</si>
  <si>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</si>
  <si>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</si>
  <si>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</si>
  <si>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</si>
  <si>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</si>
  <si>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</si>
  <si>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</si>
  <si>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</si>
  <si>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</si>
  <si>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</si>
  <si>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</si>
  <si>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</si>
  <si>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</si>
  <si>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</si>
  <si>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</si>
  <si>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</si>
  <si>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</si>
  <si>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</si>
  <si>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</si>
  <si>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</si>
  <si>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</si>
  <si>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</si>
  <si>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</si>
  <si>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</si>
  <si>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</si>
  <si>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</si>
  <si>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</si>
  <si>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</si>
  <si>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</si>
  <si>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</si>
  <si>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</si>
  <si>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</si>
  <si>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</si>
  <si>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</si>
  <si>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</si>
  <si>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</si>
  <si>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</si>
  <si>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</si>
  <si>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</si>
  <si>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</si>
  <si>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</si>
  <si>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</si>
  <si>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</si>
  <si>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</si>
  <si>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</si>
  <si>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</si>
  <si>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</si>
  <si>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</si>
  <si>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</si>
  <si>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</si>
  <si>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</si>
  <si>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</si>
  <si>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</si>
  <si>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</si>
  <si>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</si>
  <si>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</si>
  <si>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</si>
  <si>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</si>
  <si>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</si>
  <si>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</si>
  <si>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</si>
  <si>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</si>
  <si>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</si>
  <si>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</si>
  <si>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</si>
  <si>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</si>
  <si>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</si>
  <si>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</si>
  <si>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</si>
  <si>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</si>
  <si>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</si>
  <si>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</si>
  <si>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</si>
  <si>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</si>
  <si>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</si>
  <si>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</si>
  <si>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</si>
  <si>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</si>
  <si>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</si>
  <si>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</si>
  <si>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</si>
  <si>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</si>
  <si>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</si>
  <si>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</si>
  <si>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</si>
  <si>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</si>
  <si>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</si>
  <si>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</si>
  <si>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</si>
  <si>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</si>
  <si>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</si>
  <si>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Cuadro N° 2 : Producción de energía eléctrica nacional según sistema y mercado 2020 vs 2019</t>
  </si>
  <si>
    <t>Cuadro N° 3 : Producción de energía eléctrica nacional según  mercado 2020 vs 2019</t>
  </si>
  <si>
    <t>Cuadro N° 5: Producción de energía eléctrica nacional por tipo de recurso energético 2020 vs 2019</t>
  </si>
  <si>
    <t>Cuadro N° 6: Producción de energía eléctrica con Recurso Convencional y No Convencional 2020 vs 2019</t>
  </si>
  <si>
    <t>Cuadro N° 7: Producción de energía eléctrica según tipo de participación en el Mercado Eléctrico 2020 vs 2019</t>
  </si>
  <si>
    <t>3.1 Producción de energía eléctrica (GWh) nacional según zona 2020 vs 2019</t>
  </si>
  <si>
    <t>Cuadro N° 4 : Producción de energía eléctrica nacional según destino y recurso 2020 vs 2019</t>
  </si>
  <si>
    <t>Feb-19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</si>
  <si>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(1)</t>
    </r>
  </si>
  <si>
    <t>(1): Incluye información de Recursos Renovables No Convencionales de Aislados</t>
  </si>
  <si>
    <t>1. RESUMEN NACIONAL AL MES DE JULIO 2020</t>
  </si>
  <si>
    <t>Julio</t>
  </si>
  <si>
    <t>Enero - Julio</t>
  </si>
  <si>
    <t>Grafico N° 11: Generación de energía eléctrica por Región, al mes de julio 2020</t>
  </si>
  <si>
    <t>Cuadro N° 8: Producción de energía eléctrica nacional por zona del país, al mes de julio</t>
  </si>
  <si>
    <t>3.2 Producción de energía eléctrica (GWh) por origen y zona al mes de julio 2020</t>
  </si>
  <si>
    <t>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</si>
</sst>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_-* #,##0.00_-;\-* #,##0.00_-;_-* &quot;-&quot;??_-;_-@_-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_ * #,##0.0_ ;_ * \-#,##0.0_ ;_ * &quot;-&quot;??_ ;_ @_ 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4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8" xfId="0" applyFill="1" applyBorder="1"/>
    <xf numFmtId="0" fontId="0" fillId="0" borderId="18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2" xfId="0" applyFont="1" applyBorder="1"/>
    <xf numFmtId="0" fontId="0" fillId="0" borderId="22" xfId="0" applyFont="1" applyFill="1" applyBorder="1"/>
    <xf numFmtId="1" fontId="0" fillId="0" borderId="22" xfId="0" applyNumberFormat="1" applyFont="1" applyFill="1" applyBorder="1"/>
    <xf numFmtId="1" fontId="0" fillId="0" borderId="22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9" fontId="96" fillId="0" borderId="30" xfId="33743" applyFont="1" applyBorder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4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2" xfId="0" applyNumberFormat="1" applyFont="1" applyFill="1" applyBorder="1" applyAlignment="1">
      <alignment horizontal="center" vertical="center"/>
    </xf>
    <xf numFmtId="3" fontId="95" fillId="70" borderId="66" xfId="0" applyNumberFormat="1" applyFont="1" applyFill="1" applyBorder="1" applyAlignment="1">
      <alignment horizontal="center" vertical="center"/>
    </xf>
    <xf numFmtId="178" fontId="98" fillId="70" borderId="29" xfId="33743" applyNumberFormat="1" applyFont="1" applyFill="1" applyBorder="1" applyAlignment="1">
      <alignment horizontal="center" vertical="center"/>
    </xf>
    <xf numFmtId="178" fontId="98" fillId="70" borderId="63" xfId="33743" applyNumberFormat="1" applyFont="1" applyFill="1" applyBorder="1" applyAlignment="1">
      <alignment horizontal="center" vertical="center"/>
    </xf>
    <xf numFmtId="178" fontId="98" fillId="70" borderId="67" xfId="33743" applyNumberFormat="1" applyFont="1" applyFill="1" applyBorder="1" applyAlignment="1">
      <alignment horizontal="center" vertical="center"/>
    </xf>
    <xf numFmtId="10" fontId="95" fillId="70" borderId="64" xfId="33743" applyNumberFormat="1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28" xfId="0" applyFont="1" applyFill="1" applyBorder="1" applyAlignment="1">
      <alignment horizontal="center"/>
    </xf>
    <xf numFmtId="3" fontId="95" fillId="70" borderId="34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3" xfId="0" applyFont="1" applyFill="1" applyBorder="1" applyAlignment="1">
      <alignment horizontal="center"/>
    </xf>
    <xf numFmtId="0" fontId="95" fillId="70" borderId="20" xfId="0" applyFont="1" applyFill="1" applyBorder="1" applyAlignment="1">
      <alignment horizontal="center"/>
    </xf>
    <xf numFmtId="0" fontId="98" fillId="70" borderId="18" xfId="0" applyFont="1" applyFill="1" applyBorder="1" applyAlignment="1">
      <alignment horizontal="center" wrapText="1"/>
    </xf>
    <xf numFmtId="178" fontId="98" fillId="70" borderId="50" xfId="33743" applyNumberFormat="1" applyFont="1" applyFill="1" applyBorder="1"/>
    <xf numFmtId="0" fontId="99" fillId="0" borderId="16" xfId="0" applyFont="1" applyBorder="1"/>
    <xf numFmtId="0" fontId="99" fillId="0" borderId="68" xfId="0" applyFont="1" applyBorder="1"/>
    <xf numFmtId="0" fontId="99" fillId="0" borderId="68" xfId="0" applyNumberFormat="1" applyFont="1" applyBorder="1" applyAlignment="1">
      <alignment vertical="center"/>
    </xf>
    <xf numFmtId="0" fontId="99" fillId="0" borderId="69" xfId="0" applyFont="1" applyBorder="1"/>
    <xf numFmtId="164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8" xfId="0" applyFont="1" applyFill="1" applyBorder="1" applyAlignment="1">
      <alignment horizontal="center"/>
    </xf>
    <xf numFmtId="0" fontId="3" fillId="69" borderId="15" xfId="0" applyFont="1" applyFill="1" applyBorder="1" applyAlignment="1"/>
    <xf numFmtId="0" fontId="92" fillId="69" borderId="70" xfId="0" applyFont="1" applyFill="1" applyBorder="1" applyAlignment="1">
      <alignment horizontal="center"/>
    </xf>
    <xf numFmtId="0" fontId="0" fillId="69" borderId="47" xfId="0" applyFont="1" applyFill="1" applyBorder="1" applyAlignment="1">
      <alignment horizontal="center"/>
    </xf>
    <xf numFmtId="178" fontId="96" fillId="69" borderId="21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0" xfId="0" applyFont="1" applyFill="1" applyBorder="1"/>
    <xf numFmtId="0" fontId="0" fillId="68" borderId="37" xfId="0" applyFont="1" applyFill="1" applyBorder="1"/>
    <xf numFmtId="0" fontId="0" fillId="68" borderId="28" xfId="0" applyFont="1" applyFill="1" applyBorder="1"/>
    <xf numFmtId="0" fontId="0" fillId="68" borderId="40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0" xfId="0" applyNumberFormat="1" applyFont="1" applyFill="1" applyBorder="1"/>
    <xf numFmtId="3" fontId="0" fillId="68" borderId="37" xfId="0" applyNumberFormat="1" applyFont="1" applyFill="1" applyBorder="1"/>
    <xf numFmtId="3" fontId="0" fillId="68" borderId="28" xfId="0" applyNumberFormat="1" applyFont="1" applyFill="1" applyBorder="1"/>
    <xf numFmtId="4" fontId="0" fillId="68" borderId="37" xfId="0" applyNumberFormat="1" applyFont="1" applyFill="1" applyBorder="1"/>
    <xf numFmtId="0" fontId="0" fillId="68" borderId="25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4" fontId="0" fillId="68" borderId="36" xfId="0" applyNumberFormat="1" applyFont="1" applyFill="1" applyBorder="1"/>
    <xf numFmtId="3" fontId="0" fillId="68" borderId="27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46" xfId="0" applyFill="1" applyBorder="1"/>
    <xf numFmtId="0" fontId="104" fillId="68" borderId="29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4" xfId="0" applyFill="1" applyBorder="1"/>
    <xf numFmtId="0" fontId="92" fillId="68" borderId="28" xfId="0" applyFont="1" applyFill="1" applyBorder="1" applyAlignment="1">
      <alignment horizontal="center"/>
    </xf>
    <xf numFmtId="0" fontId="104" fillId="68" borderId="24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28" xfId="0" applyNumberFormat="1" applyFill="1" applyBorder="1"/>
    <xf numFmtId="9" fontId="96" fillId="68" borderId="30" xfId="33743" applyFont="1" applyFill="1" applyBorder="1" applyAlignment="1">
      <alignment horizontal="center"/>
    </xf>
    <xf numFmtId="0" fontId="0" fillId="68" borderId="25" xfId="0" applyFill="1" applyBorder="1" applyAlignment="1">
      <alignment horizontal="left" indent="5"/>
    </xf>
    <xf numFmtId="3" fontId="0" fillId="68" borderId="27" xfId="0" applyNumberFormat="1" applyFill="1" applyBorder="1"/>
    <xf numFmtId="9" fontId="96" fillId="68" borderId="32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1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55" xfId="0" applyNumberFormat="1" applyFont="1" applyFill="1" applyBorder="1" applyAlignment="1">
      <alignment vertical="center"/>
    </xf>
    <xf numFmtId="9" fontId="96" fillId="68" borderId="23" xfId="33743" applyNumberFormat="1" applyFont="1" applyFill="1" applyBorder="1" applyAlignment="1">
      <alignment horizontal="center" vertical="center"/>
    </xf>
    <xf numFmtId="0" fontId="0" fillId="68" borderId="44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56" xfId="0" applyNumberFormat="1" applyFont="1" applyFill="1" applyBorder="1" applyAlignment="1">
      <alignment vertical="center"/>
    </xf>
    <xf numFmtId="9" fontId="96" fillId="68" borderId="30" xfId="33743" applyNumberFormat="1" applyFont="1" applyFill="1" applyBorder="1" applyAlignment="1">
      <alignment horizontal="center" vertical="center"/>
    </xf>
    <xf numFmtId="0" fontId="0" fillId="68" borderId="43" xfId="0" applyFont="1" applyFill="1" applyBorder="1" applyAlignment="1">
      <alignment vertical="center"/>
    </xf>
    <xf numFmtId="4" fontId="0" fillId="68" borderId="25" xfId="0" applyNumberFormat="1" applyFont="1" applyFill="1" applyBorder="1" applyAlignment="1">
      <alignment vertical="center"/>
    </xf>
    <xf numFmtId="4" fontId="0" fillId="68" borderId="58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3" xfId="0" applyFont="1" applyFill="1" applyBorder="1" applyAlignment="1">
      <alignment horizontal="center" wrapText="1"/>
    </xf>
    <xf numFmtId="0" fontId="3" fillId="71" borderId="35" xfId="0" applyFont="1" applyFill="1" applyBorder="1" applyAlignment="1">
      <alignment horizontal="center" wrapText="1"/>
    </xf>
    <xf numFmtId="0" fontId="3" fillId="71" borderId="26" xfId="0" applyFont="1" applyFill="1" applyBorder="1" applyAlignment="1">
      <alignment horizontal="center" vertical="center"/>
    </xf>
    <xf numFmtId="9" fontId="96" fillId="71" borderId="38" xfId="33743" applyFont="1" applyFill="1" applyBorder="1" applyAlignment="1">
      <alignment horizontal="center" vertical="center"/>
    </xf>
    <xf numFmtId="0" fontId="3" fillId="71" borderId="25" xfId="0" applyFont="1" applyFill="1" applyBorder="1" applyAlignment="1">
      <alignment horizontal="left" indent="2"/>
    </xf>
    <xf numFmtId="0" fontId="0" fillId="71" borderId="32" xfId="0" applyFont="1" applyFill="1" applyBorder="1"/>
    <xf numFmtId="0" fontId="0" fillId="71" borderId="36" xfId="0" applyFont="1" applyFill="1" applyBorder="1"/>
    <xf numFmtId="0" fontId="0" fillId="71" borderId="27" xfId="0" applyFont="1" applyFill="1" applyBorder="1"/>
    <xf numFmtId="0" fontId="0" fillId="71" borderId="39" xfId="0" applyFont="1" applyFill="1" applyBorder="1"/>
    <xf numFmtId="3" fontId="0" fillId="71" borderId="33" xfId="0" applyNumberFormat="1" applyFill="1" applyBorder="1"/>
    <xf numFmtId="178" fontId="96" fillId="71" borderId="31" xfId="33743" applyNumberFormat="1" applyFont="1" applyFill="1" applyBorder="1" applyAlignment="1">
      <alignment horizontal="center"/>
    </xf>
    <xf numFmtId="3" fontId="0" fillId="71" borderId="34" xfId="0" applyNumberFormat="1" applyFont="1" applyFill="1" applyBorder="1"/>
    <xf numFmtId="178" fontId="96" fillId="71" borderId="21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6" xfId="33743" applyNumberFormat="1" applyFont="1" applyFill="1" applyBorder="1"/>
    <xf numFmtId="3" fontId="93" fillId="68" borderId="55" xfId="0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56" xfId="0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0" xfId="33743" applyNumberFormat="1" applyFont="1" applyFill="1" applyBorder="1"/>
    <xf numFmtId="3" fontId="93" fillId="68" borderId="71" xfId="0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8" xfId="0" applyFont="1" applyFill="1" applyBorder="1" applyAlignment="1">
      <alignment horizontal="center"/>
    </xf>
    <xf numFmtId="3" fontId="95" fillId="69" borderId="34" xfId="0" applyNumberFormat="1" applyFont="1" applyFill="1" applyBorder="1"/>
    <xf numFmtId="3" fontId="95" fillId="69" borderId="57" xfId="0" applyNumberFormat="1" applyFont="1" applyFill="1" applyBorder="1"/>
    <xf numFmtId="178" fontId="98" fillId="69" borderId="53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4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4" xfId="33744" applyNumberFormat="1" applyFont="1" applyFill="1" applyBorder="1"/>
    <xf numFmtId="180" fontId="95" fillId="70" borderId="50" xfId="33744" applyNumberFormat="1" applyFont="1" applyFill="1" applyBorder="1"/>
    <xf numFmtId="3" fontId="99" fillId="0" borderId="26" xfId="0" applyNumberFormat="1" applyFont="1" applyBorder="1"/>
    <xf numFmtId="3" fontId="99" fillId="0" borderId="73" xfId="0" applyNumberFormat="1" applyFont="1" applyBorder="1"/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4" xfId="0" applyNumberFormat="1" applyFont="1" applyFill="1" applyBorder="1"/>
    <xf numFmtId="0" fontId="92" fillId="69" borderId="75" xfId="0" applyFont="1" applyFill="1" applyBorder="1" applyAlignment="1">
      <alignment horizontal="center"/>
    </xf>
    <xf numFmtId="1" fontId="100" fillId="0" borderId="0" xfId="0" applyNumberFormat="1" applyFont="1"/>
    <xf numFmtId="0" fontId="92" fillId="68" borderId="77" xfId="0" applyFont="1" applyFill="1" applyBorder="1" applyAlignment="1">
      <alignment horizontal="center"/>
    </xf>
    <xf numFmtId="3" fontId="0" fillId="71" borderId="78" xfId="0" applyNumberFormat="1" applyFill="1" applyBorder="1"/>
    <xf numFmtId="3" fontId="0" fillId="68" borderId="77" xfId="0" applyNumberFormat="1" applyFill="1" applyBorder="1"/>
    <xf numFmtId="3" fontId="0" fillId="68" borderId="79" xfId="0" applyNumberFormat="1" applyFill="1" applyBorder="1"/>
    <xf numFmtId="3" fontId="0" fillId="71" borderId="80" xfId="0" applyNumberFormat="1" applyFont="1" applyFill="1" applyBorder="1"/>
    <xf numFmtId="0" fontId="92" fillId="0" borderId="77" xfId="0" applyFont="1" applyBorder="1" applyAlignment="1">
      <alignment horizontal="center"/>
    </xf>
    <xf numFmtId="0" fontId="92" fillId="69" borderId="77" xfId="0" applyFont="1" applyFill="1" applyBorder="1" applyAlignment="1">
      <alignment horizontal="center"/>
    </xf>
    <xf numFmtId="3" fontId="99" fillId="0" borderId="81" xfId="0" applyNumberFormat="1" applyFont="1" applyBorder="1"/>
    <xf numFmtId="3" fontId="99" fillId="0" borderId="82" xfId="0" applyNumberFormat="1" applyFont="1" applyBorder="1"/>
    <xf numFmtId="3" fontId="99" fillId="0" borderId="83" xfId="0" applyNumberFormat="1" applyFont="1" applyBorder="1"/>
    <xf numFmtId="3" fontId="95" fillId="70" borderId="80" xfId="0" applyNumberFormat="1" applyFont="1" applyFill="1" applyBorder="1"/>
    <xf numFmtId="178" fontId="98" fillId="70" borderId="84" xfId="33743" applyNumberFormat="1" applyFont="1" applyFill="1" applyBorder="1"/>
    <xf numFmtId="0" fontId="0" fillId="71" borderId="85" xfId="0" applyFont="1" applyFill="1" applyBorder="1" applyAlignment="1">
      <alignment horizontal="center"/>
    </xf>
    <xf numFmtId="3" fontId="0" fillId="71" borderId="86" xfId="0" applyNumberFormat="1" applyFont="1" applyFill="1" applyBorder="1"/>
    <xf numFmtId="3" fontId="0" fillId="71" borderId="87" xfId="0" applyNumberFormat="1" applyFont="1" applyFill="1" applyBorder="1"/>
    <xf numFmtId="3" fontId="0" fillId="71" borderId="88" xfId="0" applyNumberFormat="1" applyFont="1" applyFill="1" applyBorder="1"/>
    <xf numFmtId="0" fontId="0" fillId="71" borderId="89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0" xfId="0" applyNumberFormat="1" applyFont="1" applyFill="1" applyBorder="1"/>
    <xf numFmtId="0" fontId="0" fillId="71" borderId="91" xfId="0" applyFont="1" applyFill="1" applyBorder="1"/>
    <xf numFmtId="3" fontId="0" fillId="68" borderId="81" xfId="0" applyNumberFormat="1" applyFont="1" applyFill="1" applyBorder="1" applyAlignment="1">
      <alignment vertical="center"/>
    </xf>
    <xf numFmtId="3" fontId="0" fillId="68" borderId="77" xfId="0" applyNumberFormat="1" applyFont="1" applyFill="1" applyBorder="1" applyAlignment="1">
      <alignment vertical="center"/>
    </xf>
    <xf numFmtId="4" fontId="0" fillId="68" borderId="79" xfId="0" applyNumberFormat="1" applyFont="1" applyFill="1" applyBorder="1" applyAlignment="1">
      <alignment vertical="center"/>
    </xf>
    <xf numFmtId="3" fontId="95" fillId="70" borderId="93" xfId="0" applyNumberFormat="1" applyFont="1" applyFill="1" applyBorder="1" applyAlignment="1">
      <alignment horizontal="center" vertical="center"/>
    </xf>
    <xf numFmtId="178" fontId="98" fillId="70" borderId="94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96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97" xfId="0" applyNumberFormat="1" applyFill="1" applyBorder="1"/>
    <xf numFmtId="3" fontId="0" fillId="68" borderId="99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5" xfId="0" applyFill="1" applyBorder="1" applyAlignment="1">
      <alignment horizontal="left" indent="3"/>
    </xf>
    <xf numFmtId="0" fontId="0" fillId="68" borderId="43" xfId="0" applyFill="1" applyBorder="1" applyAlignment="1"/>
    <xf numFmtId="0" fontId="0" fillId="68" borderId="35" xfId="0" applyFill="1" applyBorder="1" applyAlignment="1">
      <alignment horizontal="left" indent="1"/>
    </xf>
    <xf numFmtId="0" fontId="0" fillId="68" borderId="100" xfId="0" applyFill="1" applyBorder="1" applyAlignment="1">
      <alignment horizontal="left" indent="1"/>
    </xf>
    <xf numFmtId="0" fontId="0" fillId="68" borderId="90" xfId="0" applyFill="1" applyBorder="1" applyAlignment="1">
      <alignment horizontal="left" indent="1"/>
    </xf>
    <xf numFmtId="9" fontId="96" fillId="68" borderId="30" xfId="33743" applyNumberFormat="1" applyFont="1" applyFill="1" applyBorder="1" applyAlignment="1">
      <alignment horizontal="center"/>
    </xf>
    <xf numFmtId="9" fontId="96" fillId="68" borderId="98" xfId="33743" applyNumberFormat="1" applyFont="1" applyFill="1" applyBorder="1" applyAlignment="1">
      <alignment horizontal="center"/>
    </xf>
    <xf numFmtId="0" fontId="0" fillId="68" borderId="35" xfId="0" applyFill="1" applyBorder="1" applyAlignment="1">
      <alignment vertical="center" wrapText="1"/>
    </xf>
    <xf numFmtId="0" fontId="0" fillId="68" borderId="100" xfId="0" applyFill="1" applyBorder="1"/>
    <xf numFmtId="0" fontId="0" fillId="68" borderId="37" xfId="0" applyFill="1" applyBorder="1" applyAlignment="1">
      <alignment wrapText="1"/>
    </xf>
    <xf numFmtId="0" fontId="0" fillId="68" borderId="90" xfId="0" applyFill="1" applyBorder="1"/>
    <xf numFmtId="0" fontId="0" fillId="68" borderId="36" xfId="0" applyFill="1" applyBorder="1"/>
    <xf numFmtId="167" fontId="100" fillId="62" borderId="0" xfId="0" applyNumberFormat="1" applyFont="1" applyFill="1" applyBorder="1"/>
    <xf numFmtId="3" fontId="99" fillId="0" borderId="55" xfId="0" applyNumberFormat="1" applyFont="1" applyBorder="1"/>
    <xf numFmtId="3" fontId="99" fillId="0" borderId="102" xfId="0" applyNumberFormat="1" applyFont="1" applyBorder="1"/>
    <xf numFmtId="3" fontId="99" fillId="0" borderId="103" xfId="0" applyNumberFormat="1" applyFont="1" applyBorder="1"/>
    <xf numFmtId="3" fontId="95" fillId="69" borderId="101" xfId="0" applyNumberFormat="1" applyFont="1" applyFill="1" applyBorder="1"/>
    <xf numFmtId="0" fontId="0" fillId="68" borderId="17" xfId="0" applyFont="1" applyFill="1" applyBorder="1" applyAlignment="1">
      <alignment vertical="center" wrapText="1"/>
    </xf>
    <xf numFmtId="3" fontId="0" fillId="68" borderId="60" xfId="0" applyNumberFormat="1" applyFill="1" applyBorder="1" applyAlignment="1">
      <alignment horizontal="center" vertical="center"/>
    </xf>
    <xf numFmtId="3" fontId="0" fillId="68" borderId="65" xfId="0" applyNumberFormat="1" applyFill="1" applyBorder="1" applyAlignment="1">
      <alignment horizontal="center" vertical="center"/>
    </xf>
    <xf numFmtId="3" fontId="0" fillId="68" borderId="92" xfId="0" applyNumberFormat="1" applyFill="1" applyBorder="1" applyAlignment="1">
      <alignment horizontal="center" vertical="center"/>
    </xf>
    <xf numFmtId="0" fontId="0" fillId="68" borderId="18" xfId="0" applyFont="1" applyFill="1" applyBorder="1" applyAlignment="1">
      <alignment wrapText="1"/>
    </xf>
    <xf numFmtId="3" fontId="0" fillId="68" borderId="61" xfId="0" applyNumberFormat="1" applyFill="1" applyBorder="1" applyAlignment="1">
      <alignment horizontal="center" vertical="center"/>
    </xf>
    <xf numFmtId="3" fontId="0" fillId="68" borderId="57" xfId="0" applyNumberFormat="1" applyFill="1" applyBorder="1" applyAlignment="1">
      <alignment horizontal="center" vertical="center"/>
    </xf>
    <xf numFmtId="3" fontId="0" fillId="68" borderId="80" xfId="0" applyNumberFormat="1" applyFill="1" applyBorder="1" applyAlignment="1">
      <alignment horizontal="center" vertical="center"/>
    </xf>
    <xf numFmtId="0" fontId="0" fillId="68" borderId="25" xfId="0" applyFill="1" applyBorder="1" applyAlignment="1">
      <alignment horizontal="left" indent="2"/>
    </xf>
    <xf numFmtId="9" fontId="96" fillId="68" borderId="32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46" xfId="0" applyFont="1" applyFill="1" applyBorder="1" applyAlignment="1">
      <alignment horizontal="center" vertical="center"/>
    </xf>
    <xf numFmtId="0" fontId="3" fillId="70" borderId="44" xfId="0" applyFont="1" applyFill="1" applyBorder="1" applyAlignment="1">
      <alignment horizontal="center" vertical="center"/>
    </xf>
    <xf numFmtId="0" fontId="3" fillId="70" borderId="52" xfId="0" applyFont="1" applyFill="1" applyBorder="1" applyAlignment="1">
      <alignment horizontal="center" vertical="center"/>
    </xf>
    <xf numFmtId="3" fontId="3" fillId="69" borderId="50" xfId="0" applyNumberFormat="1" applyFont="1" applyFill="1" applyBorder="1" applyAlignment="1">
      <alignment vertical="center"/>
    </xf>
    <xf numFmtId="3" fontId="3" fillId="69" borderId="57" xfId="0" applyNumberFormat="1" applyFont="1" applyFill="1" applyBorder="1" applyAlignment="1">
      <alignment vertical="center"/>
    </xf>
    <xf numFmtId="178" fontId="96" fillId="69" borderId="53" xfId="33743" applyNumberFormat="1" applyFont="1" applyFill="1" applyBorder="1" applyAlignment="1">
      <alignment horizontal="center" vertical="center"/>
    </xf>
    <xf numFmtId="3" fontId="3" fillId="69" borderId="80" xfId="0" applyNumberFormat="1" applyFont="1" applyFill="1" applyBorder="1" applyAlignment="1">
      <alignment vertical="center"/>
    </xf>
    <xf numFmtId="178" fontId="96" fillId="69" borderId="21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06" xfId="0" applyBorder="1" applyAlignment="1">
      <alignment horizontal="center" vertical="center"/>
    </xf>
    <xf numFmtId="0" fontId="0" fillId="68" borderId="107" xfId="0" applyFill="1" applyBorder="1" applyAlignment="1">
      <alignment wrapText="1"/>
    </xf>
    <xf numFmtId="9" fontId="96" fillId="68" borderId="109" xfId="33743" applyNumberFormat="1" applyFont="1" applyFill="1" applyBorder="1" applyAlignment="1">
      <alignment horizontal="center"/>
    </xf>
    <xf numFmtId="167" fontId="99" fillId="0" borderId="102" xfId="0" applyNumberFormat="1" applyFont="1" applyBorder="1"/>
    <xf numFmtId="9" fontId="103" fillId="71" borderId="24" xfId="33743" applyNumberFormat="1" applyFont="1" applyFill="1" applyBorder="1" applyAlignment="1">
      <alignment horizontal="center"/>
    </xf>
    <xf numFmtId="9" fontId="103" fillId="71" borderId="90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46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58" xfId="0" applyNumberFormat="1" applyFill="1" applyBorder="1"/>
    <xf numFmtId="3" fontId="3" fillId="69" borderId="57" xfId="0" applyNumberFormat="1" applyFont="1" applyFill="1" applyBorder="1"/>
    <xf numFmtId="3" fontId="0" fillId="68" borderId="55" xfId="0" applyNumberFormat="1" applyFill="1" applyBorder="1"/>
    <xf numFmtId="0" fontId="95" fillId="70" borderId="18" xfId="0" applyFont="1" applyFill="1" applyBorder="1" applyAlignment="1">
      <alignment horizontal="center" vertical="center"/>
    </xf>
    <xf numFmtId="164" fontId="0" fillId="0" borderId="0" xfId="33743" applyNumberFormat="1" applyFont="1" applyBorder="1"/>
    <xf numFmtId="9" fontId="103" fillId="68" borderId="40" xfId="33743" applyNumberFormat="1" applyFont="1" applyFill="1" applyBorder="1" applyAlignment="1">
      <alignment horizontal="center"/>
    </xf>
    <xf numFmtId="9" fontId="103" fillId="68" borderId="39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6" xfId="33744" applyNumberFormat="1" applyFont="1" applyFill="1" applyBorder="1"/>
    <xf numFmtId="180" fontId="0" fillId="68" borderId="28" xfId="33744" applyNumberFormat="1" applyFont="1" applyFill="1" applyBorder="1"/>
    <xf numFmtId="180" fontId="0" fillId="68" borderId="70" xfId="33744" applyNumberFormat="1" applyFont="1" applyFill="1" applyBorder="1"/>
    <xf numFmtId="3" fontId="93" fillId="68" borderId="81" xfId="33743" applyNumberFormat="1" applyFont="1" applyFill="1" applyBorder="1"/>
    <xf numFmtId="3" fontId="93" fillId="68" borderId="77" xfId="33743" applyNumberFormat="1" applyFont="1" applyFill="1" applyBorder="1"/>
    <xf numFmtId="3" fontId="93" fillId="68" borderId="95" xfId="33743" applyNumberFormat="1" applyFont="1" applyFill="1" applyBorder="1"/>
    <xf numFmtId="3" fontId="95" fillId="69" borderId="80" xfId="0" applyNumberFormat="1" applyFont="1" applyFill="1" applyBorder="1"/>
    <xf numFmtId="0" fontId="92" fillId="69" borderId="111" xfId="0" applyFont="1" applyFill="1" applyBorder="1" applyAlignment="1">
      <alignment horizontal="center"/>
    </xf>
    <xf numFmtId="167" fontId="99" fillId="0" borderId="82" xfId="0" applyNumberFormat="1" applyFont="1" applyBorder="1"/>
    <xf numFmtId="167" fontId="99" fillId="0" borderId="73" xfId="0" applyNumberFormat="1" applyFont="1" applyBorder="1"/>
    <xf numFmtId="0" fontId="0" fillId="0" borderId="22" xfId="0" applyFont="1" applyBorder="1" applyAlignment="1">
      <alignment horizontal="center"/>
    </xf>
    <xf numFmtId="0" fontId="95" fillId="70" borderId="112" xfId="0" applyFont="1" applyFill="1" applyBorder="1" applyAlignment="1">
      <alignment horizontal="center"/>
    </xf>
    <xf numFmtId="180" fontId="0" fillId="68" borderId="113" xfId="33744" applyNumberFormat="1" applyFont="1" applyFill="1" applyBorder="1"/>
    <xf numFmtId="180" fontId="0" fillId="68" borderId="114" xfId="33744" applyNumberFormat="1" applyFont="1" applyFill="1" applyBorder="1"/>
    <xf numFmtId="43" fontId="0" fillId="68" borderId="114" xfId="33744" applyNumberFormat="1" applyFont="1" applyFill="1" applyBorder="1"/>
    <xf numFmtId="182" fontId="0" fillId="68" borderId="114" xfId="33744" applyNumberFormat="1" applyFont="1" applyFill="1" applyBorder="1"/>
    <xf numFmtId="180" fontId="0" fillId="68" borderId="115" xfId="33744" applyNumberFormat="1" applyFont="1" applyFill="1" applyBorder="1"/>
    <xf numFmtId="180" fontId="95" fillId="70" borderId="116" xfId="33744" applyNumberFormat="1" applyFont="1" applyFill="1" applyBorder="1"/>
    <xf numFmtId="0" fontId="92" fillId="68" borderId="54" xfId="0" applyFont="1" applyFill="1" applyBorder="1" applyAlignment="1">
      <alignment horizontal="center"/>
    </xf>
    <xf numFmtId="3" fontId="0" fillId="71" borderId="117" xfId="0" applyNumberFormat="1" applyFill="1" applyBorder="1"/>
    <xf numFmtId="3" fontId="0" fillId="68" borderId="56" xfId="0" applyNumberFormat="1" applyFill="1" applyBorder="1"/>
    <xf numFmtId="3" fontId="0" fillId="68" borderId="118" xfId="0" applyNumberFormat="1" applyFill="1" applyBorder="1"/>
    <xf numFmtId="3" fontId="0" fillId="71" borderId="57" xfId="0" applyNumberFormat="1" applyFont="1" applyFill="1" applyBorder="1"/>
    <xf numFmtId="0" fontId="92" fillId="0" borderId="54" xfId="0" applyFont="1" applyBorder="1" applyAlignment="1">
      <alignment horizontal="center"/>
    </xf>
    <xf numFmtId="0" fontId="95" fillId="70" borderId="78" xfId="0" applyFont="1" applyFill="1" applyBorder="1" applyAlignment="1">
      <alignment horizontal="center"/>
    </xf>
    <xf numFmtId="180" fontId="0" fillId="68" borderId="81" xfId="33744" applyNumberFormat="1" applyFont="1" applyFill="1" applyBorder="1"/>
    <xf numFmtId="180" fontId="0" fillId="68" borderId="77" xfId="33744" applyNumberFormat="1" applyFont="1" applyFill="1" applyBorder="1"/>
    <xf numFmtId="180" fontId="0" fillId="68" borderId="95" xfId="33744" applyNumberFormat="1" applyFont="1" applyFill="1" applyBorder="1"/>
    <xf numFmtId="180" fontId="95" fillId="70" borderId="80" xfId="33744" applyNumberFormat="1" applyFont="1" applyFill="1" applyBorder="1"/>
    <xf numFmtId="4" fontId="99" fillId="0" borderId="102" xfId="0" applyNumberFormat="1" applyFont="1" applyBorder="1"/>
    <xf numFmtId="4" fontId="99" fillId="0" borderId="73" xfId="0" applyNumberFormat="1" applyFont="1" applyBorder="1"/>
    <xf numFmtId="178" fontId="96" fillId="68" borderId="98" xfId="33743" applyNumberFormat="1" applyFont="1" applyFill="1" applyBorder="1" applyAlignment="1">
      <alignment horizontal="center"/>
    </xf>
    <xf numFmtId="178" fontId="96" fillId="68" borderId="30" xfId="33743" applyNumberFormat="1" applyFont="1" applyFill="1" applyBorder="1" applyAlignment="1">
      <alignment horizontal="center"/>
    </xf>
    <xf numFmtId="178" fontId="96" fillId="68" borderId="30" xfId="33743" applyNumberFormat="1" applyFont="1" applyFill="1" applyBorder="1" applyAlignment="1">
      <alignment horizontal="center" vertical="center"/>
    </xf>
    <xf numFmtId="43" fontId="0" fillId="0" borderId="0" xfId="0" applyNumberFormat="1"/>
    <xf numFmtId="3" fontId="0" fillId="68" borderId="26" xfId="0" applyNumberFormat="1" applyFill="1" applyBorder="1" applyAlignment="1">
      <alignment vertical="center"/>
    </xf>
    <xf numFmtId="3" fontId="0" fillId="68" borderId="5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0" fillId="68" borderId="110" xfId="0" applyNumberFormat="1" applyFill="1" applyBorder="1"/>
    <xf numFmtId="3" fontId="0" fillId="68" borderId="119" xfId="0" applyNumberFormat="1" applyFill="1" applyBorder="1"/>
    <xf numFmtId="9" fontId="96" fillId="68" borderId="53" xfId="33743" applyNumberFormat="1" applyFont="1" applyFill="1" applyBorder="1" applyAlignment="1">
      <alignment horizontal="center" vertical="center"/>
    </xf>
    <xf numFmtId="9" fontId="96" fillId="68" borderId="21" xfId="33743" applyNumberFormat="1" applyFont="1" applyFill="1" applyBorder="1" applyAlignment="1">
      <alignment horizontal="center" vertical="center"/>
    </xf>
    <xf numFmtId="9" fontId="98" fillId="68" borderId="23" xfId="33743" applyNumberFormat="1" applyFont="1" applyFill="1" applyBorder="1"/>
    <xf numFmtId="9" fontId="98" fillId="68" borderId="30" xfId="33743" applyNumberFormat="1" applyFont="1" applyFill="1" applyBorder="1"/>
    <xf numFmtId="9" fontId="98" fillId="68" borderId="24" xfId="33743" applyNumberFormat="1" applyFont="1" applyFill="1" applyBorder="1"/>
    <xf numFmtId="9" fontId="98" fillId="0" borderId="16" xfId="33743" applyFont="1" applyBorder="1"/>
    <xf numFmtId="9" fontId="98" fillId="0" borderId="68" xfId="33743" applyFont="1" applyBorder="1"/>
    <xf numFmtId="178" fontId="98" fillId="0" borderId="68" xfId="33743" applyNumberFormat="1" applyFont="1" applyBorder="1"/>
    <xf numFmtId="9" fontId="98" fillId="0" borderId="68" xfId="33743" applyNumberFormat="1" applyFont="1" applyBorder="1"/>
    <xf numFmtId="9" fontId="98" fillId="0" borderId="69" xfId="33743" applyFont="1" applyBorder="1"/>
    <xf numFmtId="0" fontId="3" fillId="71" borderId="20" xfId="0" applyFont="1" applyFill="1" applyBorder="1" applyAlignment="1">
      <alignment horizontal="center"/>
    </xf>
    <xf numFmtId="0" fontId="3" fillId="71" borderId="45" xfId="0" applyFont="1" applyFill="1" applyBorder="1" applyAlignment="1">
      <alignment horizontal="center"/>
    </xf>
    <xf numFmtId="0" fontId="0" fillId="71" borderId="47" xfId="0" applyFont="1" applyFill="1" applyBorder="1" applyAlignment="1">
      <alignment horizontal="center"/>
    </xf>
    <xf numFmtId="0" fontId="0" fillId="71" borderId="48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46" xfId="0" applyFont="1" applyFill="1" applyBorder="1" applyAlignment="1">
      <alignment horizontal="center"/>
    </xf>
    <xf numFmtId="0" fontId="104" fillId="0" borderId="29" xfId="0" applyFont="1" applyBorder="1" applyAlignment="1">
      <alignment horizontal="center" vertical="center"/>
    </xf>
    <xf numFmtId="0" fontId="104" fillId="0" borderId="24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1" xfId="0" applyFont="1" applyFill="1" applyBorder="1" applyAlignment="1">
      <alignment horizontal="center"/>
    </xf>
    <xf numFmtId="0" fontId="3" fillId="68" borderId="42" xfId="0" applyFont="1" applyFill="1" applyBorder="1" applyAlignment="1">
      <alignment horizontal="center"/>
    </xf>
    <xf numFmtId="0" fontId="92" fillId="68" borderId="76" xfId="0" applyFont="1" applyFill="1" applyBorder="1" applyAlignment="1">
      <alignment horizontal="center"/>
    </xf>
    <xf numFmtId="0" fontId="92" fillId="68" borderId="4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3" fillId="70" borderId="46" xfId="0" applyFont="1" applyFill="1" applyBorder="1" applyAlignment="1">
      <alignment horizontal="center" vertical="center"/>
    </xf>
    <xf numFmtId="0" fontId="3" fillId="70" borderId="59" xfId="0" applyFont="1" applyFill="1" applyBorder="1" applyAlignment="1">
      <alignment horizontal="center" vertical="center"/>
    </xf>
    <xf numFmtId="0" fontId="3" fillId="69" borderId="49" xfId="0" applyFont="1" applyFill="1" applyBorder="1" applyAlignment="1">
      <alignment horizontal="center" vertical="center"/>
    </xf>
    <xf numFmtId="0" fontId="104" fillId="69" borderId="29" xfId="0" applyFont="1" applyFill="1" applyBorder="1" applyAlignment="1">
      <alignment horizontal="center" vertical="center"/>
    </xf>
    <xf numFmtId="0" fontId="104" fillId="69" borderId="24" xfId="0" applyFont="1" applyFill="1" applyBorder="1" applyAlignment="1">
      <alignment horizontal="center" vertical="center"/>
    </xf>
    <xf numFmtId="0" fontId="92" fillId="69" borderId="76" xfId="0" applyFont="1" applyFill="1" applyBorder="1" applyAlignment="1">
      <alignment horizontal="center" vertical="center"/>
    </xf>
    <xf numFmtId="0" fontId="92" fillId="69" borderId="49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5" fillId="70" borderId="72" xfId="0" quotePrefix="1" applyNumberFormat="1" applyFont="1" applyFill="1" applyBorder="1" applyAlignment="1">
      <alignment horizontal="center"/>
    </xf>
    <xf numFmtId="0" fontId="95" fillId="70" borderId="19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3" fillId="69" borderId="41" xfId="0" applyFont="1" applyFill="1" applyBorder="1" applyAlignment="1">
      <alignment horizontal="center" vertical="center"/>
    </xf>
    <xf numFmtId="0" fontId="3" fillId="69" borderId="42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  <xf numFmtId="3" fontId="0" fillId="68" borderId="108" xfId="0" applyNumberFormat="1" applyFill="1" applyBorder="1"/>
    <xf numFmtId="178" fontId="96" fillId="68" borderId="32" xfId="33743" applyNumberFormat="1" applyFont="1" applyFill="1" applyBorder="1" applyAlignment="1">
      <alignment horizontal="center"/>
    </xf>
    <xf numFmtId="167" fontId="0" fillId="68" borderId="27" xfId="0" applyNumberFormat="1" applyFill="1" applyBorder="1"/>
    <xf numFmtId="167" fontId="0" fillId="68" borderId="58" xfId="0" applyNumberFormat="1" applyFill="1" applyBorder="1"/>
    <xf numFmtId="167" fontId="0" fillId="68" borderId="55" xfId="0" applyNumberFormat="1" applyFill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Grafico N°1:</a:t>
            </a:r>
            <a:r>
              <a:rPr lang="es-PE" sz="800" b="1" baseline="0"/>
              <a:t> </a:t>
            </a:r>
            <a:r>
              <a:rPr lang="es-PE" sz="800" b="1"/>
              <a:t>Producción de Energía Eléctrica Nacional</a:t>
            </a:r>
          </a:p>
          <a:p>
            <a:pPr>
              <a:defRPr sz="800" b="1"/>
            </a:pPr>
            <a:r>
              <a:rPr lang="es-PE" sz="800" b="1"/>
              <a:t>Julio 2020</a:t>
            </a:r>
          </a:p>
          <a:p>
            <a:pPr>
              <a:defRPr sz="800" b="1"/>
            </a:pPr>
            <a:r>
              <a:rPr lang="es-PE" sz="800" b="1"/>
              <a:t>Total : 4 441 GWh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762429561449624E-2"/>
          <c:y val="0.34466732053180382"/>
          <c:w val="0.84996904033541287"/>
          <c:h val="0.5176429087546304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247-4B77-B331-5D7ABFB940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47-4B77-B331-5D7ABFB94076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247-4B77-B331-5D7ABFB94076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247-4B77-B331-5D7ABFB94076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47-4B77-B331-5D7ABFB94076}"/>
              </c:ext>
            </c:extLst>
          </c:dPt>
          <c:dPt>
            <c:idx val="5"/>
            <c:bubble3D val="0"/>
            <c:explosion val="14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47-4B77-B331-5D7ABFB94076}"/>
              </c:ext>
            </c:extLst>
          </c:dPt>
          <c:dLbls>
            <c:dLbl>
              <c:idx val="0"/>
              <c:layout>
                <c:manualLayout>
                  <c:x val="5.5621773690769658E-3"/>
                  <c:y val="0.13366252372119661"/>
                </c:manualLayout>
              </c:layout>
              <c:tx>
                <c:rich>
                  <a:bodyPr/>
                  <a:lstStyle/>
                  <a:p>
                    <a:fld id="{411B7BD4-6982-4716-97FD-E013A723E843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923C3048-0A74-4133-9BAE-F80CDC2416A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77F8BAEC-B69D-41F7-9952-FC1F4F598CD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1124354738153932E-2"/>
                  <c:y val="-0.15670778643174774"/>
                </c:manualLayout>
              </c:layout>
              <c:tx>
                <c:rich>
                  <a:bodyPr/>
                  <a:lstStyle/>
                  <a:p>
                    <a:fld id="{B4F1E276-4AA4-4CDA-AFE2-843F5F924E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</a:t>
                    </a:r>
                    <a:fld id="{20A3C7B2-DA04-4F3F-89D0-1263329BD55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B967D444-8841-4849-A2A4-26BCE439920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7.0076490055044349E-2"/>
                  <c:y val="-6.9102850515778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47-4B77-B331-5D7ABFB940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8468487896286553E-2"/>
                  <c:y val="-1.8604651162790753E-2"/>
                </c:manualLayout>
              </c:layout>
              <c:tx>
                <c:rich>
                  <a:bodyPr/>
                  <a:lstStyle/>
                  <a:p>
                    <a:fld id="{371ED9FE-9522-4A8A-B3EB-14C70B2352C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4E431F03-CAAC-4BCF-BF0E-6AC2DD6BEAD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: </a:t>
                    </a:r>
                    <a:fld id="{F7D8FAF8-FA59-40D4-A513-64F1410BC7B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8231980770938718E-2"/>
                  <c:y val="0.15208545443447477"/>
                </c:manualLayout>
              </c:layout>
              <c:tx>
                <c:rich>
                  <a:bodyPr/>
                  <a:lstStyle/>
                  <a:p>
                    <a:fld id="{E4DB686D-3DD1-4374-860F-30F01924078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: </a:t>
                    </a:r>
                    <a:fld id="{74A34174-4643-47E6-BCA4-F50D9FBFBC31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; </a:t>
                    </a:r>
                    <a:fld id="{53A1DE8C-0240-4EAD-8E16-960403223383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23057964710233131"/>
                  <c:y val="-9.302327847589986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6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Mcdo Elect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: </a:t>
                    </a:r>
                    <a:fld id="{30E5422F-606B-4CB6-BCDA-494FC4AD867E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; </a:t>
                    </a:r>
                    <a:fld id="{1D7CA89E-1078-4424-96E5-9DAEEB4D0993}" type="PERCENTAG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 sz="600" b="1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47-4B77-B331-5D7ABFB94076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52.141463260873863</c:v>
                </c:pt>
                <c:pt idx="1">
                  <c:v>116.60113628887973</c:v>
                </c:pt>
                <c:pt idx="2">
                  <c:v>2087.2712260955059</c:v>
                </c:pt>
                <c:pt idx="3">
                  <c:v>1953.9659005857498</c:v>
                </c:pt>
                <c:pt idx="4">
                  <c:v>230.61499876249994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7-4B77-B331-5D7ABFB94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A7-482F-8F07-827CA96EB19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0A7-482F-8F07-827CA96EB1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1753.1816252996914</c:v>
                </c:pt>
                <c:pt idx="2" formatCode="_(* #,##0.00_);_(* \(#,##0.00\);_(* &quot;-&quot;??_);_(@_)">
                  <c:v>7.3369999999999998E-3</c:v>
                </c:pt>
                <c:pt idx="3">
                  <c:v>1845.6847451786157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418-4C54-82B8-77873BAA70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78.228669879999998</c:v>
                </c:pt>
                <c:pt idx="1">
                  <c:v>279.16437382069876</c:v>
                </c:pt>
                <c:pt idx="2" formatCode="_ * #,##0.0_ ;_ * \-#,##0.0_ ;_ * &quot;-&quot;??_ ;_ @_ ">
                  <c:v>61.040101507499983</c:v>
                </c:pt>
                <c:pt idx="3">
                  <c:v>60.387271072272881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38-45A7-BE0F-57B660BBCB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38-45A7-BE0F-57B660BBCBA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27.62510987395595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3598.8737074783071</c:v>
                </c:pt>
                <c:pt idx="1">
                  <c:v>478.82041628047159</c:v>
                </c:pt>
                <c:pt idx="2">
                  <c:v>335.27549136077334</c:v>
                </c:pt>
                <c:pt idx="3">
                  <c:v>27.62510987395595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9690368"/>
        <c:axId val="959691936"/>
      </c:barChart>
      <c:catAx>
        <c:axId val="9596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59691936"/>
        <c:crosses val="autoZero"/>
        <c:auto val="1"/>
        <c:lblAlgn val="ctr"/>
        <c:lblOffset val="100"/>
        <c:noMultiLvlLbl val="0"/>
      </c:catAx>
      <c:valAx>
        <c:axId val="95969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95969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CUSCO</c:v>
                </c:pt>
                <c:pt idx="5">
                  <c:v>PIURA</c:v>
                </c:pt>
                <c:pt idx="6">
                  <c:v>LA LIBERTAD</c:v>
                </c:pt>
                <c:pt idx="7">
                  <c:v>ICA</c:v>
                </c:pt>
                <c:pt idx="8">
                  <c:v>ANCASH</c:v>
                </c:pt>
                <c:pt idx="9">
                  <c:v>AREQUIPA</c:v>
                </c:pt>
                <c:pt idx="10">
                  <c:v>HUANUCO</c:v>
                </c:pt>
                <c:pt idx="11">
                  <c:v>CAJAMARCA</c:v>
                </c:pt>
                <c:pt idx="12">
                  <c:v>PASCO</c:v>
                </c:pt>
                <c:pt idx="13">
                  <c:v>PUNO</c:v>
                </c:pt>
                <c:pt idx="14">
                  <c:v>MOQUEGUA</c:v>
                </c:pt>
                <c:pt idx="15">
                  <c:v>LORETO</c:v>
                </c:pt>
                <c:pt idx="16">
                  <c:v>TACNA</c:v>
                </c:pt>
                <c:pt idx="17">
                  <c:v>LAMBAYEQUE</c:v>
                </c:pt>
                <c:pt idx="18">
                  <c:v>APURIMAC</c:v>
                </c:pt>
                <c:pt idx="19">
                  <c:v>SAN MARTÍN</c:v>
                </c:pt>
                <c:pt idx="20">
                  <c:v>AMAZONAS</c:v>
                </c:pt>
                <c:pt idx="21">
                  <c:v>UCAYALI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1993.0235845469444</c:v>
                </c:pt>
                <c:pt idx="1">
                  <c:v>838.56408751446975</c:v>
                </c:pt>
                <c:pt idx="2">
                  <c:v>334.91820925197737</c:v>
                </c:pt>
                <c:pt idx="3">
                  <c:v>181.73468991916653</c:v>
                </c:pt>
                <c:pt idx="4">
                  <c:v>153.81204863416667</c:v>
                </c:pt>
                <c:pt idx="5">
                  <c:v>129.68920514867759</c:v>
                </c:pt>
                <c:pt idx="6">
                  <c:v>109.5380073309021</c:v>
                </c:pt>
                <c:pt idx="7">
                  <c:v>106.13550811333332</c:v>
                </c:pt>
                <c:pt idx="8">
                  <c:v>98.775503997415427</c:v>
                </c:pt>
                <c:pt idx="9">
                  <c:v>91.194961557055791</c:v>
                </c:pt>
                <c:pt idx="10">
                  <c:v>88.699791493333365</c:v>
                </c:pt>
                <c:pt idx="11">
                  <c:v>82.984974144458249</c:v>
                </c:pt>
                <c:pt idx="12">
                  <c:v>61.529833791666661</c:v>
                </c:pt>
                <c:pt idx="13">
                  <c:v>55.177598690000053</c:v>
                </c:pt>
                <c:pt idx="14">
                  <c:v>53.653735468333323</c:v>
                </c:pt>
                <c:pt idx="15">
                  <c:v>27.62510987395595</c:v>
                </c:pt>
                <c:pt idx="16">
                  <c:v>13.51933749</c:v>
                </c:pt>
                <c:pt idx="17">
                  <c:v>4.6351344566666688</c:v>
                </c:pt>
                <c:pt idx="18">
                  <c:v>4.3459420860331734</c:v>
                </c:pt>
                <c:pt idx="19">
                  <c:v>4.1723176666666664</c:v>
                </c:pt>
                <c:pt idx="20">
                  <c:v>3.1553046134020781</c:v>
                </c:pt>
                <c:pt idx="21">
                  <c:v>1.6280069633333332</c:v>
                </c:pt>
                <c:pt idx="22">
                  <c:v>1.1005480000000003</c:v>
                </c:pt>
                <c:pt idx="23">
                  <c:v>0.88401647404924466</c:v>
                </c:pt>
                <c:pt idx="24">
                  <c:v>9.7267767500000005E-2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959688800"/>
        <c:axId val="959689192"/>
      </c:barChart>
      <c:catAx>
        <c:axId val="9596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959689192"/>
        <c:crosses val="autoZero"/>
        <c:auto val="1"/>
        <c:lblAlgn val="ctr"/>
        <c:lblOffset val="100"/>
        <c:noMultiLvlLbl val="0"/>
      </c:catAx>
      <c:valAx>
        <c:axId val="959689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95968880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/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572817887096451E-3"/>
                  <c:y val="1.217656012176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2169.1588273368793</c:v>
                </c:pt>
                <c:pt idx="1">
                  <c:v>2328.8019434590487</c:v>
                </c:pt>
                <c:pt idx="2">
                  <c:v>157.87177199999999</c:v>
                </c:pt>
                <c:pt idx="3">
                  <c:v>57.361241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2139.4126893563798</c:v>
                </c:pt>
                <c:pt idx="1">
                  <c:v>2070.5670368746296</c:v>
                </c:pt>
                <c:pt idx="2">
                  <c:v>169.56756025499996</c:v>
                </c:pt>
                <c:pt idx="3">
                  <c:v>61.047438507499983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7449600"/>
        <c:axId val="587449992"/>
      </c:barChart>
      <c:catAx>
        <c:axId val="587449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87449992"/>
        <c:crosses val="autoZero"/>
        <c:auto val="1"/>
        <c:lblAlgn val="ctr"/>
        <c:lblOffset val="100"/>
        <c:noMultiLvlLbl val="0"/>
      </c:catAx>
      <c:valAx>
        <c:axId val="5874499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8744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i="0" baseline="0">
                <a:effectLst/>
              </a:rPr>
              <a:t>Gráfico N°2: Producción de Energía Eléctrica Nacional</a:t>
            </a:r>
            <a:endParaRPr lang="es-PE" sz="800" b="1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187.79088310047746</c:v>
                </c:pt>
                <c:pt idx="1">
                  <c:v>174.2605404819445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7DB-4AAD-B1D1-AA0DD89C3D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4525.4029006954488</c:v>
                </c:pt>
                <c:pt idx="1">
                  <c:v>4266.3341845115647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453520"/>
        <c:axId val="587450776"/>
        <c:axId val="431267928"/>
      </c:bar3DChart>
      <c:catAx>
        <c:axId val="58745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87450776"/>
        <c:crosses val="autoZero"/>
        <c:auto val="1"/>
        <c:lblAlgn val="ctr"/>
        <c:lblOffset val="100"/>
        <c:noMultiLvlLbl val="0"/>
      </c:catAx>
      <c:valAx>
        <c:axId val="58745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87453520"/>
        <c:crosses val="autoZero"/>
        <c:crossBetween val="between"/>
      </c:valAx>
      <c:serAx>
        <c:axId val="431267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87450776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2047.9026993568793</c:v>
                </c:pt>
                <c:pt idx="1">
                  <c:v>2013.3119259563798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2275.6493502890485</c:v>
                </c:pt>
                <c:pt idx="1">
                  <c:v>2015.778406351229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121.25612798000014</c:v>
                </c:pt>
                <c:pt idx="1">
                  <c:v>126.10076339999995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6-4BDA-ACDC-A6E51A6C704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268.38560617000002</c:v>
                </c:pt>
                <c:pt idx="1">
                  <c:v>285.40362928590037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50933192"/>
        <c:axId val="750932408"/>
        <c:axId val="0"/>
      </c:bar3DChart>
      <c:catAx>
        <c:axId val="75093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50932408"/>
        <c:crosses val="autoZero"/>
        <c:auto val="1"/>
        <c:lblAlgn val="ctr"/>
        <c:lblOffset val="100"/>
        <c:noMultiLvlLbl val="0"/>
      </c:catAx>
      <c:valAx>
        <c:axId val="75093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50933192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2139.4126893563798</c:v>
                </c:pt>
                <c:pt idx="1">
                  <c:v>1863.5103331871667</c:v>
                </c:pt>
                <c:pt idx="2">
                  <c:v>152.05819111874098</c:v>
                </c:pt>
                <c:pt idx="3">
                  <c:v>54.788630523400428</c:v>
                </c:pt>
                <c:pt idx="4">
                  <c:v>169.56756025499996</c:v>
                </c:pt>
                <c:pt idx="5">
                  <c:v>61.047438507499983</c:v>
                </c:pt>
                <c:pt idx="6" formatCode="#,##0.0">
                  <c:v>0.2098820453199835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0933584"/>
        <c:axId val="750934760"/>
      </c:barChart>
      <c:catAx>
        <c:axId val="75093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50934760"/>
        <c:crosses val="autoZero"/>
        <c:auto val="1"/>
        <c:lblAlgn val="ctr"/>
        <c:lblOffset val="100"/>
        <c:noMultiLvlLbl val="0"/>
      </c:catAx>
      <c:valAx>
        <c:axId val="75093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509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037-4694-BAD5-10A4F4B0424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4444.8081776259269</c:v>
                </c:pt>
                <c:pt idx="1">
                  <c:v>4155.1910957076079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(1)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2508878770485655E-2"/>
                  <c:y val="-9.8050582989625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44E-4059-B774-614AB2D2630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268.38560617000002</c:v>
                </c:pt>
                <c:pt idx="1">
                  <c:v>285.40362928590037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750933976"/>
        <c:axId val="483340008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5330716549030166E-2"/>
                  <c:y val="-3.5286000250162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300567068827548E-2"/>
                  <c:y val="3.4877698074624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0FD-488B-8AB7-48A84AE60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5.6943469435251352E-2</c:v>
                </c:pt>
                <c:pt idx="1">
                  <c:v>6.4271487708511307E-2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339224"/>
        <c:axId val="483340400"/>
      </c:lineChart>
      <c:catAx>
        <c:axId val="7509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3340008"/>
        <c:crosses val="autoZero"/>
        <c:auto val="1"/>
        <c:lblAlgn val="ctr"/>
        <c:lblOffset val="100"/>
        <c:noMultiLvlLbl val="1"/>
      </c:catAx>
      <c:valAx>
        <c:axId val="483340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750933976"/>
        <c:crosses val="autoZero"/>
        <c:crossBetween val="between"/>
        <c:majorUnit val="1000"/>
      </c:valAx>
      <c:valAx>
        <c:axId val="48334040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3339224"/>
        <c:crosses val="max"/>
        <c:crossBetween val="between"/>
      </c:valAx>
      <c:catAx>
        <c:axId val="483339224"/>
        <c:scaling>
          <c:orientation val="minMax"/>
        </c:scaling>
        <c:delete val="1"/>
        <c:axPos val="b"/>
        <c:majorTickMark val="out"/>
        <c:minorTickMark val="none"/>
        <c:tickLblPos val="nextTo"/>
        <c:crossAx val="483340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2019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0.10693217125727976"/>
                  <c:y val="-0.122155179237783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0937813558810065"/>
                  <c:y val="0.255011500250296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53707138052757"/>
                  <c:y val="-7.42198169994102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1F6-4538-A631-E09024FD6E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2524437960552937"/>
                  <c:y val="-4.06505696609684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/>
                      <a:t>RER No Convencional</a:t>
                    </a:r>
                    <a:r>
                      <a:rPr lang="en-US" sz="700" b="1" baseline="0"/>
                      <a:t>
</a:t>
                    </a:r>
                    <a:fld id="{C5D264AD-B0DB-4DF4-BBC7-74A0CD4432DE}" type="PERCENTAGE">
                      <a:rPr lang="en-US" sz="700" b="1" baseline="0"/>
                      <a:pPr>
                        <a:defRPr sz="700" b="1"/>
                      </a:pPr>
                      <a:t>[PORCENTAJE]</a:t>
                    </a:fld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1F6-4538-A631-E09024FD6E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485514794561902"/>
                      <c:h val="0.2258272557941776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2169.1588273368793</c:v>
                </c:pt>
                <c:pt idx="1">
                  <c:v>2177.9590659999999</c:v>
                </c:pt>
                <c:pt idx="2">
                  <c:v>97.314844289047869</c:v>
                </c:pt>
                <c:pt idx="3" formatCode="#,##0.00">
                  <c:v>0.37544</c:v>
                </c:pt>
                <c:pt idx="4">
                  <c:v>53.152593170000017</c:v>
                </c:pt>
                <c:pt idx="5">
                  <c:v>157.87177199999999</c:v>
                </c:pt>
                <c:pt idx="6">
                  <c:v>57.361241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2020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0.16613689363606776"/>
                  <c:y val="-0.199220235088975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15907204892861787"/>
                  <c:y val="0.2054539505004253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2117313151581134E-2"/>
                  <c:y val="-8.837911692794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FCD-4ECA-B69A-AB2E7C5210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10371440557237165"/>
                  <c:y val="-6.50511128429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</a:t>
                    </a:r>
                    <a:r>
                      <a:rPr lang="en-US" b="1" baseline="0"/>
                      <a:t> Convencional
</a:t>
                    </a:r>
                    <a:fld id="{7A99A2D6-2C66-4BF6-B281-92DFE1CDDFFB}" type="PERCENTAGE">
                      <a:rPr lang="en-US" b="1" baseline="0"/>
                      <a:pPr>
                        <a:defRPr sz="700" b="1"/>
                      </a:pPr>
                      <a:t>[PORCENTAJE]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FCD-4ECA-B69A-AB2E7C52107D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2139.4126893563798</c:v>
                </c:pt>
                <c:pt idx="1">
                  <c:v>1863.5103331871667</c:v>
                </c:pt>
                <c:pt idx="2">
                  <c:v>152.05819111874098</c:v>
                </c:pt>
                <c:pt idx="3" formatCode="#,##0.00">
                  <c:v>0.2098820453199835</c:v>
                </c:pt>
                <c:pt idx="4">
                  <c:v>54.788630523400428</c:v>
                </c:pt>
                <c:pt idx="5">
                  <c:v>169.56756025499996</c:v>
                </c:pt>
                <c:pt idx="6">
                  <c:v>61.047438507499983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DF3-4B8C-A071-F881905C8C1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DF3-4B8C-A071-F881905C8C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91.338890374999963</c:v>
                </c:pt>
                <c:pt idx="1">
                  <c:v>107.06669023598954</c:v>
                </c:pt>
                <c:pt idx="2">
                  <c:v>0</c:v>
                </c:pt>
                <c:pt idx="3">
                  <c:v>136.86991074978386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6</xdr:row>
      <xdr:rowOff>114752</xdr:rowOff>
    </xdr:from>
    <xdr:to>
      <xdr:col>14</xdr:col>
      <xdr:colOff>38100</xdr:colOff>
      <xdr:row>18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121975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81906" y="852225"/>
          <a:ext cx="6613950" cy="322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julio 2020</a:t>
          </a:r>
        </a:p>
      </xdr:txBody>
    </xdr:sp>
    <xdr:clientData/>
  </xdr:twoCellAnchor>
  <xdr:twoCellAnchor>
    <xdr:from>
      <xdr:col>2</xdr:col>
      <xdr:colOff>337008</xdr:colOff>
      <xdr:row>59</xdr:row>
      <xdr:rowOff>0</xdr:rowOff>
    </xdr:from>
    <xdr:to>
      <xdr:col>8</xdr:col>
      <xdr:colOff>125016</xdr:colOff>
      <xdr:row>61</xdr:row>
      <xdr:rowOff>63500</xdr:rowOff>
    </xdr:to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67258" y="9993313"/>
          <a:ext cx="5383946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2020 vs 2019</a:t>
          </a:r>
          <a:endParaRPr lang="es-PE" sz="900" b="1"/>
        </a:p>
      </xdr:txBody>
    </xdr:sp>
    <xdr:clientData/>
  </xdr:twoCellAnchor>
  <xdr:twoCellAnchor>
    <xdr:from>
      <xdr:col>1</xdr:col>
      <xdr:colOff>347944</xdr:colOff>
      <xdr:row>7</xdr:row>
      <xdr:rowOff>7564</xdr:rowOff>
    </xdr:from>
    <xdr:to>
      <xdr:col>9</xdr:col>
      <xdr:colOff>428626</xdr:colOff>
      <xdr:row>20</xdr:row>
      <xdr:rowOff>148301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709894" y="1188664"/>
          <a:ext cx="6691032" cy="2331487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=""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015506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=""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5330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06555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=""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1</xdr:col>
      <xdr:colOff>190501</xdr:colOff>
      <xdr:row>18</xdr:row>
      <xdr:rowOff>39461</xdr:rowOff>
    </xdr:from>
    <xdr:to>
      <xdr:col>5</xdr:col>
      <xdr:colOff>520495</xdr:colOff>
      <xdr:row>51</xdr:row>
      <xdr:rowOff>59870</xdr:rowOff>
    </xdr:to>
    <xdr:grpSp>
      <xdr:nvGrpSpPr>
        <xdr:cNvPr id="4" name="Grup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557894" y="3305175"/>
          <a:ext cx="4003922" cy="5544909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=""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=""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=""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=""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=""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=""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view="pageBreakPreview" topLeftCell="A33" zoomScaleNormal="120" zoomScaleSheetLayoutView="100" workbookViewId="0">
      <selection activeCell="C38" sqref="C38:J48"/>
    </sheetView>
  </sheetViews>
  <sheetFormatPr baseColWidth="10" defaultColWidth="11.42578125" defaultRowHeight="12.75"/>
  <cols>
    <col min="1" max="1" width="5.28515625" customWidth="1"/>
    <col min="2" max="2" width="2.42578125" style="8" customWidth="1"/>
    <col min="3" max="3" width="12.7109375" style="9" customWidth="1"/>
    <col min="4" max="4" width="12" style="9" customWidth="1"/>
    <col min="5" max="6" width="9.7109375" style="9" customWidth="1"/>
    <col min="7" max="7" width="5.7109375" style="9" customWidth="1"/>
    <col min="8" max="9" width="11.7109375" style="9" customWidth="1"/>
    <col min="10" max="10" width="5.7109375" style="9" customWidth="1"/>
    <col min="11" max="11" width="7.5703125" style="9" customWidth="1"/>
    <col min="12" max="12" width="11.140625" customWidth="1"/>
    <col min="14" max="16" width="11.42578125" style="1"/>
    <col min="17" max="17" width="14.5703125" customWidth="1"/>
    <col min="18" max="18" width="12.42578125" customWidth="1"/>
  </cols>
  <sheetData>
    <row r="2" spans="2:19" ht="15">
      <c r="B2" s="2" t="s">
        <v>125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5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4.25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111</v>
      </c>
    </row>
    <row r="8" spans="2:19" s="1" customFormat="1">
      <c r="B8" s="8"/>
      <c r="C8" s="129"/>
      <c r="D8" s="129"/>
      <c r="E8" s="129"/>
      <c r="F8" s="129"/>
      <c r="G8" s="129"/>
      <c r="H8" s="9"/>
      <c r="I8" s="9"/>
      <c r="J8" s="9"/>
      <c r="K8" s="9"/>
    </row>
    <row r="9" spans="2:19" s="1" customFormat="1" ht="25.5">
      <c r="B9" s="8"/>
      <c r="C9" s="178" t="s">
        <v>62</v>
      </c>
      <c r="D9" s="179" t="s">
        <v>69</v>
      </c>
      <c r="E9" s="180" t="s">
        <v>70</v>
      </c>
      <c r="F9" s="181" t="s">
        <v>71</v>
      </c>
      <c r="G9" s="182" t="s">
        <v>72</v>
      </c>
      <c r="H9" s="9"/>
      <c r="I9" s="9"/>
      <c r="J9" s="9"/>
      <c r="K9" s="9"/>
    </row>
    <row r="10" spans="2:19" s="1" customFormat="1" ht="13.5" thickBot="1">
      <c r="B10" s="8"/>
      <c r="C10" s="183" t="s">
        <v>63</v>
      </c>
      <c r="D10" s="184"/>
      <c r="E10" s="185"/>
      <c r="F10" s="186"/>
      <c r="G10" s="187"/>
      <c r="H10" s="9"/>
      <c r="I10" s="9"/>
      <c r="J10" s="9"/>
      <c r="K10" s="9"/>
    </row>
    <row r="11" spans="2:19" s="1" customFormat="1" ht="13.5" thickTop="1">
      <c r="B11" s="8"/>
      <c r="C11" s="130"/>
      <c r="D11" s="131"/>
      <c r="E11" s="132"/>
      <c r="F11" s="133"/>
      <c r="G11" s="134"/>
      <c r="H11" s="9"/>
      <c r="I11" s="9"/>
      <c r="J11" s="9"/>
      <c r="K11" s="9"/>
      <c r="Q11" s="382" t="s">
        <v>64</v>
      </c>
      <c r="R11" s="144" t="s">
        <v>41</v>
      </c>
      <c r="S11" s="145">
        <f>E12</f>
        <v>52.141463260873863</v>
      </c>
    </row>
    <row r="12" spans="2:19" s="1" customFormat="1">
      <c r="B12" s="8"/>
      <c r="C12" s="135" t="s">
        <v>66</v>
      </c>
      <c r="D12" s="136">
        <v>2087.2712260955059</v>
      </c>
      <c r="E12" s="137">
        <v>52.141463260873863</v>
      </c>
      <c r="F12" s="138">
        <f>SUM(D12:E12)</f>
        <v>2139.4126893563798</v>
      </c>
      <c r="G12" s="320">
        <f>(F12/F$16)</f>
        <v>0.48178517109766344</v>
      </c>
      <c r="H12" s="9"/>
      <c r="I12" s="9"/>
      <c r="J12" s="9"/>
      <c r="K12" s="9"/>
      <c r="Q12" s="382"/>
      <c r="R12" s="144" t="s">
        <v>73</v>
      </c>
      <c r="S12" s="145">
        <f>E13</f>
        <v>116.60113628887973</v>
      </c>
    </row>
    <row r="13" spans="2:19" s="1" customFormat="1">
      <c r="B13" s="8"/>
      <c r="C13" s="135" t="s">
        <v>65</v>
      </c>
      <c r="D13" s="136">
        <v>1953.9659005857498</v>
      </c>
      <c r="E13" s="137">
        <v>116.60113628887973</v>
      </c>
      <c r="F13" s="138">
        <f>SUM(D13:E13)</f>
        <v>2070.5670368746296</v>
      </c>
      <c r="G13" s="320">
        <f>(F13/F$16)</f>
        <v>0.46628147018700428</v>
      </c>
      <c r="H13" s="9"/>
      <c r="I13" s="9"/>
      <c r="J13" s="9"/>
      <c r="K13" s="9"/>
      <c r="Q13" s="382" t="s">
        <v>88</v>
      </c>
      <c r="R13" s="144" t="s">
        <v>41</v>
      </c>
      <c r="S13" s="145">
        <f>D12</f>
        <v>2087.2712260955059</v>
      </c>
    </row>
    <row r="14" spans="2:19" s="1" customFormat="1">
      <c r="B14" s="8"/>
      <c r="C14" s="135" t="s">
        <v>67</v>
      </c>
      <c r="D14" s="136">
        <v>169.56756025499996</v>
      </c>
      <c r="E14" s="139"/>
      <c r="F14" s="138">
        <f>SUM(D14:E14)</f>
        <v>169.56756025499996</v>
      </c>
      <c r="G14" s="320">
        <f>(F14/F$16)</f>
        <v>3.8185777076345961E-2</v>
      </c>
      <c r="H14" s="9"/>
      <c r="I14" s="9"/>
      <c r="J14" s="9"/>
      <c r="K14" s="9"/>
      <c r="Q14" s="382"/>
      <c r="R14" s="144" t="s">
        <v>73</v>
      </c>
      <c r="S14" s="145">
        <f>D13</f>
        <v>1953.9659005857498</v>
      </c>
    </row>
    <row r="15" spans="2:19" s="1" customFormat="1" ht="13.5" thickBot="1">
      <c r="B15" s="8"/>
      <c r="C15" s="140" t="s">
        <v>5</v>
      </c>
      <c r="D15" s="141">
        <v>61.047438507499983</v>
      </c>
      <c r="E15" s="142"/>
      <c r="F15" s="143">
        <f>SUM(D15:E15)</f>
        <v>61.047438507499983</v>
      </c>
      <c r="G15" s="321">
        <f>(F15/F$16)</f>
        <v>1.3747581638986253E-2</v>
      </c>
      <c r="H15" s="9"/>
      <c r="I15" s="9"/>
      <c r="J15" s="9"/>
      <c r="K15" s="9"/>
      <c r="Q15" s="382"/>
      <c r="R15" s="144" t="s">
        <v>87</v>
      </c>
      <c r="S15" s="145">
        <f>SUM(D14:D15)</f>
        <v>230.61499876249994</v>
      </c>
    </row>
    <row r="16" spans="2:19" s="1" customFormat="1" ht="13.5" thickTop="1">
      <c r="B16" s="8"/>
      <c r="C16" s="238" t="s">
        <v>71</v>
      </c>
      <c r="D16" s="239">
        <f>SUM(D12:D15)</f>
        <v>4271.8521254437555</v>
      </c>
      <c r="E16" s="240">
        <f>SUM(E12:E15)</f>
        <v>168.74259954975361</v>
      </c>
      <c r="F16" s="241">
        <f>SUM(F12:F15)</f>
        <v>4440.5947249935098</v>
      </c>
      <c r="G16" s="242"/>
      <c r="H16" s="9"/>
      <c r="I16" s="9"/>
      <c r="J16" s="9"/>
      <c r="K16" s="9"/>
    </row>
    <row r="17" spans="2:19" s="1" customFormat="1">
      <c r="B17" s="8"/>
      <c r="C17" s="243" t="s">
        <v>107</v>
      </c>
      <c r="D17" s="307">
        <f>D16/F16</f>
        <v>0.96199999999999986</v>
      </c>
      <c r="E17" s="308">
        <f>E16/F16</f>
        <v>3.8000000000000055E-2</v>
      </c>
      <c r="F17" s="244"/>
      <c r="G17" s="245"/>
      <c r="H17" s="9"/>
      <c r="I17" s="9"/>
      <c r="J17" s="9"/>
      <c r="K17" s="9"/>
    </row>
    <row r="18" spans="2:19" s="1" customFormat="1">
      <c r="B18" s="8"/>
      <c r="C18" s="130"/>
      <c r="D18" s="130"/>
      <c r="E18" s="130"/>
      <c r="F18" s="130"/>
      <c r="G18" s="130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115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5" thickBot="1">
      <c r="B22" s="8"/>
      <c r="C22" s="130"/>
      <c r="D22" s="130"/>
      <c r="E22" s="130"/>
      <c r="F22" s="130"/>
      <c r="G22" s="130"/>
      <c r="H22" s="129"/>
      <c r="I22" s="129"/>
      <c r="J22" s="129"/>
      <c r="K22" s="9"/>
    </row>
    <row r="23" spans="2:19" s="1" customFormat="1" ht="12.75" customHeight="1">
      <c r="B23" s="8"/>
      <c r="C23" s="378" t="s">
        <v>110</v>
      </c>
      <c r="D23" s="379"/>
      <c r="E23" s="383" t="s">
        <v>126</v>
      </c>
      <c r="F23" s="384"/>
      <c r="G23" s="149" t="s">
        <v>74</v>
      </c>
      <c r="H23" s="385" t="s">
        <v>127</v>
      </c>
      <c r="I23" s="386"/>
      <c r="J23" s="149" t="s">
        <v>74</v>
      </c>
      <c r="K23" s="9"/>
      <c r="Q23" s="144"/>
      <c r="R23" s="144">
        <v>2019</v>
      </c>
      <c r="S23" s="144">
        <v>2020</v>
      </c>
    </row>
    <row r="24" spans="2:19" s="1" customFormat="1" ht="12.75" customHeight="1">
      <c r="B24" s="8"/>
      <c r="C24" s="150"/>
      <c r="D24" s="151"/>
      <c r="E24" s="152">
        <v>2019</v>
      </c>
      <c r="F24" s="342">
        <v>2020</v>
      </c>
      <c r="G24" s="153"/>
      <c r="H24" s="226">
        <v>2019</v>
      </c>
      <c r="I24" s="342">
        <v>2020</v>
      </c>
      <c r="J24" s="153"/>
      <c r="K24" s="9"/>
      <c r="Q24" s="144" t="s">
        <v>76</v>
      </c>
      <c r="R24" s="145">
        <f>E29</f>
        <v>187.79088310047746</v>
      </c>
      <c r="S24" s="145">
        <f>F29</f>
        <v>174.2605404819445</v>
      </c>
    </row>
    <row r="25" spans="2:19" s="1" customFormat="1">
      <c r="B25" s="8"/>
      <c r="C25" s="374" t="s">
        <v>0</v>
      </c>
      <c r="D25" s="375"/>
      <c r="E25" s="188">
        <f>SUM(E26:E28)</f>
        <v>4525.4029006954488</v>
      </c>
      <c r="F25" s="343">
        <f>SUM(F26:F28)</f>
        <v>4266.3341845115647</v>
      </c>
      <c r="G25" s="189">
        <f>((F25/E25)-1)</f>
        <v>-5.724765769343354E-2</v>
      </c>
      <c r="H25" s="227">
        <f>SUM(H26:H28)</f>
        <v>31697.130419550329</v>
      </c>
      <c r="I25" s="343">
        <f>SUM(I26:I28)</f>
        <v>28146.349230976051</v>
      </c>
      <c r="J25" s="189">
        <f>((I25/H25)-1)</f>
        <v>-0.11202216546341393</v>
      </c>
      <c r="K25" s="9"/>
      <c r="Q25" s="144" t="s">
        <v>0</v>
      </c>
      <c r="R25" s="145">
        <f>E25</f>
        <v>4525.4029006954488</v>
      </c>
      <c r="S25" s="145">
        <f>F25</f>
        <v>4266.3341845115647</v>
      </c>
    </row>
    <row r="26" spans="2:19" s="1" customFormat="1">
      <c r="B26" s="8"/>
      <c r="C26" s="259" t="s">
        <v>62</v>
      </c>
      <c r="D26" s="267" t="s">
        <v>102</v>
      </c>
      <c r="E26" s="155">
        <v>4398.9823800024978</v>
      </c>
      <c r="F26" s="344">
        <v>4139.424709554999</v>
      </c>
      <c r="G26" s="156">
        <f t="shared" ref="G26:G32" si="0">((F26/E26)-1)</f>
        <v>-5.9004025937324012E-2</v>
      </c>
      <c r="H26" s="228">
        <v>30755.990430739992</v>
      </c>
      <c r="I26" s="344">
        <v>27283.130827645004</v>
      </c>
      <c r="J26" s="156">
        <f t="shared" ref="J26:J32" si="1">((I26/H26)-1)</f>
        <v>-0.11291652632405347</v>
      </c>
      <c r="K26" s="9"/>
    </row>
    <row r="27" spans="2:19" s="1" customFormat="1">
      <c r="B27" s="8"/>
      <c r="C27" s="260" t="s">
        <v>104</v>
      </c>
      <c r="D27" s="268" t="s">
        <v>77</v>
      </c>
      <c r="E27" s="262">
        <v>86.724998792999997</v>
      </c>
      <c r="F27" s="345">
        <v>91.473529051117339</v>
      </c>
      <c r="G27" s="271">
        <f t="shared" si="0"/>
        <v>5.4753880936353694E-2</v>
      </c>
      <c r="H27" s="263">
        <v>621.51282408663201</v>
      </c>
      <c r="I27" s="345">
        <v>605.96221835955646</v>
      </c>
      <c r="J27" s="355">
        <f t="shared" si="1"/>
        <v>-2.5020570975230583E-2</v>
      </c>
      <c r="K27" s="9"/>
    </row>
    <row r="28" spans="2:19" s="1" customFormat="1">
      <c r="B28" s="8"/>
      <c r="C28" s="261" t="s">
        <v>64</v>
      </c>
      <c r="D28" s="269" t="s">
        <v>77</v>
      </c>
      <c r="E28" s="155">
        <v>39.695521899951352</v>
      </c>
      <c r="F28" s="344">
        <v>35.435945905448257</v>
      </c>
      <c r="G28" s="270">
        <f t="shared" si="0"/>
        <v>-0.10730620963339232</v>
      </c>
      <c r="H28" s="228">
        <v>319.627164723703</v>
      </c>
      <c r="I28" s="344">
        <v>257.25618497149293</v>
      </c>
      <c r="J28" s="270">
        <f t="shared" si="1"/>
        <v>-0.19513666745480085</v>
      </c>
      <c r="K28" s="9"/>
    </row>
    <row r="29" spans="2:19" s="1" customFormat="1">
      <c r="B29" s="8"/>
      <c r="C29" s="374" t="s">
        <v>76</v>
      </c>
      <c r="D29" s="375"/>
      <c r="E29" s="188">
        <f>SUM(E30:E31)</f>
        <v>187.79088310047746</v>
      </c>
      <c r="F29" s="343">
        <f>SUM(F30:F31)</f>
        <v>174.2605404819445</v>
      </c>
      <c r="G29" s="189">
        <f t="shared" si="0"/>
        <v>-7.2050050541024091E-2</v>
      </c>
      <c r="H29" s="227">
        <f>SUM(H30:H31)</f>
        <v>1422.365089463658</v>
      </c>
      <c r="I29" s="343">
        <f>SUM(I30:I31)</f>
        <v>1273.3680925507626</v>
      </c>
      <c r="J29" s="189">
        <f t="shared" si="1"/>
        <v>-0.10475299064678167</v>
      </c>
      <c r="K29" s="9"/>
      <c r="Q29" s="144"/>
      <c r="R29" s="144"/>
      <c r="S29" s="144"/>
    </row>
    <row r="30" spans="2:19" s="1" customFormat="1">
      <c r="B30" s="8"/>
      <c r="C30" s="264" t="s">
        <v>68</v>
      </c>
      <c r="D30" s="151"/>
      <c r="E30" s="155">
        <v>42.027277193599986</v>
      </c>
      <c r="F30" s="344">
        <v>40.953886837639175</v>
      </c>
      <c r="G30" s="270">
        <f t="shared" si="0"/>
        <v>-2.5540325893971261E-2</v>
      </c>
      <c r="H30" s="228">
        <v>308.67748362359998</v>
      </c>
      <c r="I30" s="344">
        <v>271.37686515902146</v>
      </c>
      <c r="J30" s="270">
        <f t="shared" si="1"/>
        <v>-0.12084010154126668</v>
      </c>
      <c r="K30" s="9"/>
    </row>
    <row r="31" spans="2:19" s="1" customFormat="1" ht="13.5" thickBot="1">
      <c r="B31" s="8"/>
      <c r="C31" s="265" t="s">
        <v>64</v>
      </c>
      <c r="D31" s="266"/>
      <c r="E31" s="158">
        <v>145.76360590687747</v>
      </c>
      <c r="F31" s="315">
        <v>133.30665364430533</v>
      </c>
      <c r="G31" s="159">
        <f t="shared" si="0"/>
        <v>-8.5459962279819002E-2</v>
      </c>
      <c r="H31" s="229">
        <v>1113.687605840058</v>
      </c>
      <c r="I31" s="315">
        <v>1001.9912273917412</v>
      </c>
      <c r="J31" s="291">
        <f t="shared" si="1"/>
        <v>-0.10029417393404849</v>
      </c>
      <c r="K31" s="9"/>
    </row>
    <row r="32" spans="2:19" s="1" customFormat="1" ht="14.25" thickTop="1" thickBot="1">
      <c r="B32" s="8"/>
      <c r="C32" s="376" t="s">
        <v>106</v>
      </c>
      <c r="D32" s="377"/>
      <c r="E32" s="190">
        <f>SUM(E25,E29)</f>
        <v>4713.1937837959267</v>
      </c>
      <c r="F32" s="346">
        <f>SUM(F25,F29)</f>
        <v>4440.5947249935089</v>
      </c>
      <c r="G32" s="191">
        <f t="shared" si="0"/>
        <v>-5.7837439177574224E-2</v>
      </c>
      <c r="H32" s="230">
        <f>SUM(H25,H29)</f>
        <v>33119.495509013985</v>
      </c>
      <c r="I32" s="346">
        <f>SUM(I25,I29)</f>
        <v>29419.717323526813</v>
      </c>
      <c r="J32" s="191">
        <f t="shared" si="1"/>
        <v>-0.11170998013783817</v>
      </c>
      <c r="K32" s="9"/>
    </row>
    <row r="33" spans="2:19" s="1" customFormat="1">
      <c r="B33" s="8"/>
      <c r="C33" s="302" t="s">
        <v>103</v>
      </c>
      <c r="D33" s="160"/>
      <c r="E33" s="160"/>
      <c r="F33" s="161"/>
      <c r="G33" s="129"/>
      <c r="H33" s="160"/>
      <c r="I33" s="160"/>
      <c r="J33" s="129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116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5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7"/>
      <c r="D38" s="148"/>
      <c r="E38" s="383" t="s">
        <v>126</v>
      </c>
      <c r="F38" s="384"/>
      <c r="G38" s="380" t="s">
        <v>74</v>
      </c>
      <c r="H38" s="385" t="s">
        <v>127</v>
      </c>
      <c r="I38" s="386"/>
      <c r="J38" s="380" t="s">
        <v>74</v>
      </c>
      <c r="K38" s="9"/>
      <c r="Q38" s="144"/>
      <c r="R38" s="144">
        <v>2019</v>
      </c>
      <c r="S38" s="144">
        <v>2020</v>
      </c>
    </row>
    <row r="39" spans="2:19" s="1" customFormat="1" ht="12.75" customHeight="1">
      <c r="B39" s="8"/>
      <c r="C39" s="150" t="s">
        <v>75</v>
      </c>
      <c r="D39" s="151"/>
      <c r="E39" s="152">
        <v>2019</v>
      </c>
      <c r="F39" s="342">
        <v>2020</v>
      </c>
      <c r="G39" s="381"/>
      <c r="H39" s="231">
        <v>2019</v>
      </c>
      <c r="I39" s="347">
        <v>2020</v>
      </c>
      <c r="J39" s="381"/>
      <c r="K39" s="9"/>
      <c r="Q39" s="144" t="s">
        <v>66</v>
      </c>
      <c r="R39" s="145">
        <f>SUM(E41,E46)</f>
        <v>2169.1588273368793</v>
      </c>
      <c r="S39" s="145">
        <f>SUM(F41,F46)</f>
        <v>2139.4126893563798</v>
      </c>
    </row>
    <row r="40" spans="2:19" s="1" customFormat="1">
      <c r="B40" s="8"/>
      <c r="C40" s="374" t="s">
        <v>68</v>
      </c>
      <c r="D40" s="375"/>
      <c r="E40" s="188">
        <f>SUM(E41:E44)</f>
        <v>4527.7346559890993</v>
      </c>
      <c r="F40" s="343">
        <f>SUM(F41:F44)</f>
        <v>4271.8521254437555</v>
      </c>
      <c r="G40" s="189">
        <f>((F40/E40)-1)</f>
        <v>-5.6514471360832319E-2</v>
      </c>
      <c r="H40" s="227">
        <f>SUM(H41:H44)</f>
        <v>31686.180738450228</v>
      </c>
      <c r="I40" s="343">
        <f>SUM(I41:I44)</f>
        <v>28160.469911163585</v>
      </c>
      <c r="J40" s="189">
        <f>((I40/H40)-1)</f>
        <v>-0.11126966851540732</v>
      </c>
      <c r="K40" s="9"/>
      <c r="Q40" s="144" t="s">
        <v>65</v>
      </c>
      <c r="R40" s="145">
        <f>SUM(E42,E47)</f>
        <v>2328.8019434590487</v>
      </c>
      <c r="S40" s="145">
        <f>SUM(F42,F47)</f>
        <v>2070.5670368746296</v>
      </c>
    </row>
    <row r="41" spans="2:19" s="1" customFormat="1">
      <c r="B41" s="8"/>
      <c r="C41" s="154" t="s">
        <v>66</v>
      </c>
      <c r="D41" s="130"/>
      <c r="E41" s="155">
        <v>2117.2487239890993</v>
      </c>
      <c r="F41" s="344">
        <f>D12</f>
        <v>2087.2712260955059</v>
      </c>
      <c r="G41" s="270">
        <f t="shared" ref="G41:G48" si="2">((F41/E41)-1)</f>
        <v>-1.4158703960445829E-2</v>
      </c>
      <c r="H41" s="228">
        <v>19044.50257205273</v>
      </c>
      <c r="I41" s="344">
        <v>19386.630719100212</v>
      </c>
      <c r="J41" s="270">
        <f t="shared" ref="J41:J48" si="3">((I41/H41)-1)</f>
        <v>1.7964667008396829E-2</v>
      </c>
      <c r="K41" s="9"/>
      <c r="Q41" s="144" t="s">
        <v>67</v>
      </c>
      <c r="R41" s="145">
        <f>E43</f>
        <v>157.87177199999999</v>
      </c>
      <c r="S41" s="145">
        <f>F43</f>
        <v>169.56756025499996</v>
      </c>
    </row>
    <row r="42" spans="2:19" s="1" customFormat="1">
      <c r="B42" s="8"/>
      <c r="C42" s="154" t="s">
        <v>65</v>
      </c>
      <c r="D42" s="130"/>
      <c r="E42" s="155">
        <v>2195.252919</v>
      </c>
      <c r="F42" s="344">
        <f>D13</f>
        <v>1953.9659005857498</v>
      </c>
      <c r="G42" s="270">
        <f t="shared" si="2"/>
        <v>-0.10991308396672728</v>
      </c>
      <c r="H42" s="228">
        <v>11285.379111397498</v>
      </c>
      <c r="I42" s="344">
        <v>7390.9485692358703</v>
      </c>
      <c r="J42" s="270">
        <f t="shared" si="3"/>
        <v>-0.34508637270576992</v>
      </c>
      <c r="K42" s="9"/>
      <c r="Q42" s="144" t="s">
        <v>5</v>
      </c>
      <c r="R42" s="145">
        <f>E44</f>
        <v>57.361241</v>
      </c>
      <c r="S42" s="145">
        <f>F44</f>
        <v>61.047438507499983</v>
      </c>
    </row>
    <row r="43" spans="2:19" s="1" customFormat="1">
      <c r="B43" s="8"/>
      <c r="C43" s="154" t="s">
        <v>67</v>
      </c>
      <c r="D43" s="130"/>
      <c r="E43" s="155">
        <v>157.87177199999999</v>
      </c>
      <c r="F43" s="344">
        <f>D14</f>
        <v>169.56756025499996</v>
      </c>
      <c r="G43" s="270">
        <f t="shared" si="2"/>
        <v>7.4084100702942468E-2</v>
      </c>
      <c r="H43" s="228">
        <v>957.45620500000007</v>
      </c>
      <c r="I43" s="344">
        <v>971.17595232250005</v>
      </c>
      <c r="J43" s="356">
        <f t="shared" si="3"/>
        <v>1.4329373240105525E-2</v>
      </c>
      <c r="K43" s="9"/>
    </row>
    <row r="44" spans="2:19" s="1" customFormat="1">
      <c r="B44" s="8"/>
      <c r="C44" s="154" t="s">
        <v>5</v>
      </c>
      <c r="D44" s="130"/>
      <c r="E44" s="155">
        <v>57.361241</v>
      </c>
      <c r="F44" s="344">
        <f>D15</f>
        <v>61.047438507499983</v>
      </c>
      <c r="G44" s="93">
        <f t="shared" si="2"/>
        <v>6.4262861877412814E-2</v>
      </c>
      <c r="H44" s="228">
        <v>398.84285000000006</v>
      </c>
      <c r="I44" s="344">
        <v>411.71467050499996</v>
      </c>
      <c r="J44" s="156">
        <f t="shared" si="3"/>
        <v>3.2272912765014761E-2</v>
      </c>
      <c r="K44" s="9"/>
      <c r="Q44" s="144"/>
      <c r="R44" s="144"/>
      <c r="S44" s="144"/>
    </row>
    <row r="45" spans="2:19" s="1" customFormat="1">
      <c r="B45" s="8"/>
      <c r="C45" s="374" t="s">
        <v>64</v>
      </c>
      <c r="D45" s="375"/>
      <c r="E45" s="188">
        <f>SUM(E46:E47)</f>
        <v>185.45912780682877</v>
      </c>
      <c r="F45" s="343">
        <f>SUM(F46:F47)</f>
        <v>168.74259954975361</v>
      </c>
      <c r="G45" s="189">
        <f t="shared" si="2"/>
        <v>-9.0135915415750389E-2</v>
      </c>
      <c r="H45" s="227">
        <f>SUM(H46:H47)</f>
        <v>1433.3147705637609</v>
      </c>
      <c r="I45" s="343">
        <f>SUM(I46:I47)</f>
        <v>1259.2474123632342</v>
      </c>
      <c r="J45" s="189">
        <f t="shared" si="3"/>
        <v>-0.12144391572275604</v>
      </c>
      <c r="K45" s="9"/>
    </row>
    <row r="46" spans="2:19" s="1" customFormat="1">
      <c r="B46" s="8"/>
      <c r="C46" s="154" t="s">
        <v>66</v>
      </c>
      <c r="D46" s="130"/>
      <c r="E46" s="155">
        <v>51.910103347780222</v>
      </c>
      <c r="F46" s="344">
        <f>E12</f>
        <v>52.141463260873863</v>
      </c>
      <c r="G46" s="156">
        <f t="shared" si="2"/>
        <v>4.4569341645037674E-3</v>
      </c>
      <c r="H46" s="228">
        <v>429.3262105467258</v>
      </c>
      <c r="I46" s="344">
        <v>381.20016690282637</v>
      </c>
      <c r="J46" s="156">
        <f t="shared" si="3"/>
        <v>-0.11209668187417043</v>
      </c>
      <c r="K46" s="9"/>
    </row>
    <row r="47" spans="2:19" s="1" customFormat="1" ht="13.5" thickBot="1">
      <c r="B47" s="8"/>
      <c r="C47" s="157" t="s">
        <v>65</v>
      </c>
      <c r="D47" s="130"/>
      <c r="E47" s="158">
        <v>133.54902445904855</v>
      </c>
      <c r="F47" s="315">
        <f>E13</f>
        <v>116.60113628887973</v>
      </c>
      <c r="G47" s="291">
        <f t="shared" si="2"/>
        <v>-0.12690387098533784</v>
      </c>
      <c r="H47" s="229">
        <v>1003.9885600170352</v>
      </c>
      <c r="I47" s="315">
        <v>878.04724546040768</v>
      </c>
      <c r="J47" s="159">
        <f t="shared" si="3"/>
        <v>-0.12544098565673956</v>
      </c>
      <c r="K47" s="9"/>
    </row>
    <row r="48" spans="2:19" s="1" customFormat="1" ht="14.25" thickTop="1" thickBot="1">
      <c r="B48" s="8"/>
      <c r="C48" s="376" t="s">
        <v>106</v>
      </c>
      <c r="D48" s="377"/>
      <c r="E48" s="190">
        <f>SUM(E40,E45)</f>
        <v>4713.1937837959285</v>
      </c>
      <c r="F48" s="346">
        <f>SUM(F40,F45)</f>
        <v>4440.5947249935089</v>
      </c>
      <c r="G48" s="191">
        <f t="shared" si="2"/>
        <v>-5.7837439177574557E-2</v>
      </c>
      <c r="H48" s="230">
        <f>SUM(H40,H45)</f>
        <v>33119.495509013992</v>
      </c>
      <c r="I48" s="346">
        <f>SUM(I40,I45)</f>
        <v>29419.71732352682</v>
      </c>
      <c r="J48" s="191">
        <f t="shared" si="3"/>
        <v>-0.11170998013783817</v>
      </c>
      <c r="K48" s="9"/>
    </row>
    <row r="49" spans="2:23" s="1" customFormat="1">
      <c r="B49" s="8"/>
      <c r="C49" s="257"/>
      <c r="D49" s="90"/>
      <c r="E49" s="91"/>
      <c r="F49" s="91"/>
      <c r="G49" s="94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4"/>
      <c r="H50" s="9"/>
      <c r="I50" s="9"/>
      <c r="J50" s="9"/>
      <c r="K50" s="9"/>
    </row>
    <row r="51" spans="2:23" s="1" customFormat="1">
      <c r="B51" s="8"/>
      <c r="C51" s="10" t="s">
        <v>121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2"/>
    </row>
    <row r="53" spans="2:23" s="1" customFormat="1" ht="13.5" thickBot="1">
      <c r="B53" s="8"/>
      <c r="C53" s="10"/>
      <c r="H53" s="9"/>
      <c r="I53" s="9"/>
      <c r="J53" s="9"/>
      <c r="K53" s="9"/>
      <c r="L53" s="252">
        <v>32.154245000000003</v>
      </c>
      <c r="M53" s="252"/>
      <c r="N53" s="1">
        <v>179.00026800000001</v>
      </c>
    </row>
    <row r="54" spans="2:23" s="1" customFormat="1" ht="12.75" customHeight="1">
      <c r="B54" s="8"/>
      <c r="C54" s="147"/>
      <c r="D54" s="148"/>
      <c r="E54" s="383" t="s">
        <v>126</v>
      </c>
      <c r="F54" s="384"/>
      <c r="G54" s="380" t="s">
        <v>74</v>
      </c>
      <c r="H54" s="385" t="s">
        <v>127</v>
      </c>
      <c r="I54" s="386"/>
      <c r="J54" s="380" t="s">
        <v>74</v>
      </c>
      <c r="K54" s="9"/>
      <c r="L54" s="252"/>
      <c r="M54" s="252"/>
    </row>
    <row r="55" spans="2:23" s="1" customFormat="1" ht="12.75" customHeight="1">
      <c r="B55" s="8"/>
      <c r="C55" s="150" t="s">
        <v>75</v>
      </c>
      <c r="D55" s="151"/>
      <c r="E55" s="152">
        <v>2019</v>
      </c>
      <c r="F55" s="342">
        <v>2020</v>
      </c>
      <c r="G55" s="381"/>
      <c r="H55" s="231">
        <v>2019</v>
      </c>
      <c r="I55" s="347">
        <v>2020</v>
      </c>
      <c r="J55" s="381"/>
      <c r="K55" s="9"/>
      <c r="L55" s="252"/>
      <c r="M55" s="252"/>
    </row>
    <row r="56" spans="2:23" s="1" customFormat="1">
      <c r="B56" s="8"/>
      <c r="C56" s="374" t="s">
        <v>68</v>
      </c>
      <c r="D56" s="375"/>
      <c r="E56" s="188">
        <f>SUM(E57:E60)</f>
        <v>4527.7346559890993</v>
      </c>
      <c r="F56" s="343">
        <f>SUM(F57:F60)</f>
        <v>4271.8521254437555</v>
      </c>
      <c r="G56" s="189">
        <f>((F56/E56)-1)</f>
        <v>-5.6514471360832319E-2</v>
      </c>
      <c r="H56" s="227">
        <f>SUM(H57:H60)</f>
        <v>31686.180738450232</v>
      </c>
      <c r="I56" s="343">
        <f>SUM(I57:I60)</f>
        <v>28160.469911163582</v>
      </c>
      <c r="J56" s="189">
        <f>((I56/H56)-1)</f>
        <v>-0.11126966851540754</v>
      </c>
      <c r="K56" s="9"/>
    </row>
    <row r="57" spans="2:23" s="1" customFormat="1" ht="25.5">
      <c r="B57" s="8"/>
      <c r="C57" s="388" t="s">
        <v>78</v>
      </c>
      <c r="D57" s="272" t="s">
        <v>79</v>
      </c>
      <c r="E57" s="359">
        <f>SUM(E43:E44)+32.154245</f>
        <v>247.387258</v>
      </c>
      <c r="F57" s="360">
        <f>SUM(F43:F44)+33.2174203099577</f>
        <v>263.83241907245764</v>
      </c>
      <c r="G57" s="166">
        <f t="shared" ref="G57:G65" si="4">((F57/E57)-1)</f>
        <v>6.6475376320544566E-2</v>
      </c>
      <c r="H57" s="361">
        <f>SUM(H43:H44)+179.000268</f>
        <v>1535.2993230000002</v>
      </c>
      <c r="I57" s="360">
        <f>SUM(I43:I44)+160.620720527458</f>
        <v>1543.5113433549579</v>
      </c>
      <c r="J57" s="166">
        <f t="shared" ref="J57:J65" si="5">((I57/H57)-1)</f>
        <v>5.3488073836385208E-3</v>
      </c>
      <c r="K57" s="9"/>
      <c r="L57" s="252"/>
      <c r="Q57" s="144"/>
      <c r="R57" s="144"/>
      <c r="T57" s="144">
        <v>2019</v>
      </c>
      <c r="U57" s="144">
        <v>2020</v>
      </c>
      <c r="V57" s="144"/>
      <c r="W57" s="144"/>
    </row>
    <row r="58" spans="2:23" s="1" customFormat="1" ht="13.5">
      <c r="B58" s="8"/>
      <c r="C58" s="389"/>
      <c r="D58" s="273" t="s">
        <v>108</v>
      </c>
      <c r="E58" s="262">
        <v>121.25612798000014</v>
      </c>
      <c r="F58" s="345">
        <v>126.10076339999995</v>
      </c>
      <c r="G58" s="271">
        <f t="shared" si="4"/>
        <v>3.9953736777731175E-2</v>
      </c>
      <c r="H58" s="263">
        <v>1079.5675434674999</v>
      </c>
      <c r="I58" s="345">
        <v>1396.4754959025004</v>
      </c>
      <c r="J58" s="271">
        <f t="shared" si="5"/>
        <v>0.29355083371357482</v>
      </c>
      <c r="K58" s="9"/>
      <c r="L58" s="252"/>
      <c r="M58" s="252"/>
      <c r="Q58" s="382" t="s">
        <v>80</v>
      </c>
      <c r="R58" s="144" t="s">
        <v>66</v>
      </c>
      <c r="T58" s="145">
        <f>SUM(E60,E64)</f>
        <v>2047.9026993568793</v>
      </c>
      <c r="U58" s="145">
        <f>SUM(F60,F64)</f>
        <v>2013.3119259563798</v>
      </c>
      <c r="V58" s="146">
        <f t="shared" ref="V58:W61" si="6">T58/T$64</f>
        <v>0.4345042434702383</v>
      </c>
      <c r="W58" s="146">
        <f t="shared" si="6"/>
        <v>0.4533879019908359</v>
      </c>
    </row>
    <row r="59" spans="2:23" s="1" customFormat="1">
      <c r="B59" s="8"/>
      <c r="C59" s="387" t="s">
        <v>80</v>
      </c>
      <c r="D59" s="274" t="s">
        <v>81</v>
      </c>
      <c r="E59" s="155">
        <f>SUM(E42:E44)-E57</f>
        <v>2163.0986739999998</v>
      </c>
      <c r="F59" s="344">
        <f>SUM(F42:F44)-F57</f>
        <v>1920.748480275792</v>
      </c>
      <c r="G59" s="270">
        <f t="shared" si="4"/>
        <v>-0.1120384366359275</v>
      </c>
      <c r="H59" s="228">
        <f>SUM(H42:H44)-H57</f>
        <v>11106.378843397499</v>
      </c>
      <c r="I59" s="344">
        <f>SUM(I42:I44)-I57</f>
        <v>7230.3278487084117</v>
      </c>
      <c r="J59" s="270">
        <f t="shared" si="5"/>
        <v>-0.34899322716632486</v>
      </c>
      <c r="K59" s="9"/>
      <c r="Q59" s="382"/>
      <c r="R59" s="144" t="s">
        <v>65</v>
      </c>
      <c r="T59" s="145">
        <f>SUM(E59,E63)</f>
        <v>2275.6493502890485</v>
      </c>
      <c r="U59" s="145">
        <f>SUM(F59,F63)</f>
        <v>2015.778406351229</v>
      </c>
      <c r="V59" s="146">
        <f t="shared" si="6"/>
        <v>0.48282533133112099</v>
      </c>
      <c r="W59" s="146">
        <f t="shared" si="6"/>
        <v>0.45394334119382523</v>
      </c>
    </row>
    <row r="60" spans="2:23" s="1" customFormat="1">
      <c r="B60" s="8"/>
      <c r="C60" s="387"/>
      <c r="D60" s="275" t="s">
        <v>41</v>
      </c>
      <c r="E60" s="155">
        <f>E41-E58</f>
        <v>1995.9925960090991</v>
      </c>
      <c r="F60" s="344">
        <f>F41-F58</f>
        <v>1961.1704626955059</v>
      </c>
      <c r="G60" s="156">
        <f t="shared" si="4"/>
        <v>-1.7446023288472445E-2</v>
      </c>
      <c r="H60" s="228">
        <f>H41-H58</f>
        <v>17964.935028585231</v>
      </c>
      <c r="I60" s="344">
        <f>I41-I58</f>
        <v>17990.155223197711</v>
      </c>
      <c r="J60" s="356">
        <f t="shared" si="5"/>
        <v>1.4038567115524092E-3</v>
      </c>
      <c r="K60" s="9"/>
      <c r="Q60" s="382" t="s">
        <v>78</v>
      </c>
      <c r="R60" s="144" t="s">
        <v>66</v>
      </c>
      <c r="T60" s="145">
        <f>E58</f>
        <v>121.25612798000014</v>
      </c>
      <c r="U60" s="145">
        <f>F58</f>
        <v>126.10076339999995</v>
      </c>
      <c r="V60" s="146">
        <f t="shared" si="6"/>
        <v>2.5726955763389486E-2</v>
      </c>
      <c r="W60" s="146">
        <f t="shared" si="6"/>
        <v>2.839726910682764E-2</v>
      </c>
    </row>
    <row r="61" spans="2:23" s="1" customFormat="1">
      <c r="B61" s="8"/>
      <c r="C61" s="374" t="s">
        <v>64</v>
      </c>
      <c r="D61" s="375"/>
      <c r="E61" s="188">
        <f>SUM(E62:E64)</f>
        <v>185.45912780682877</v>
      </c>
      <c r="F61" s="343">
        <f>SUM(F62:F64)</f>
        <v>168.74259954975361</v>
      </c>
      <c r="G61" s="189">
        <f t="shared" si="4"/>
        <v>-9.0135915415750389E-2</v>
      </c>
      <c r="H61" s="227">
        <f>SUM(H62:H64)</f>
        <v>1433.3147705637609</v>
      </c>
      <c r="I61" s="343">
        <f>SUM(I62:I64)</f>
        <v>1259.2474123632342</v>
      </c>
      <c r="J61" s="189">
        <f t="shared" si="5"/>
        <v>-0.12144391572275604</v>
      </c>
      <c r="K61" s="9"/>
      <c r="Q61" s="382"/>
      <c r="R61" s="144" t="s">
        <v>89</v>
      </c>
      <c r="T61" s="145">
        <f>E57+E62</f>
        <v>268.38560617000002</v>
      </c>
      <c r="U61" s="145">
        <f>F57+F62</f>
        <v>285.40362928590037</v>
      </c>
      <c r="V61" s="146">
        <f t="shared" si="6"/>
        <v>5.6943469435251338E-2</v>
      </c>
      <c r="W61" s="146">
        <f t="shared" si="6"/>
        <v>6.4271487708511293E-2</v>
      </c>
    </row>
    <row r="62" spans="2:23" s="1" customFormat="1">
      <c r="B62" s="8"/>
      <c r="C62" s="303" t="s">
        <v>78</v>
      </c>
      <c r="D62" s="304" t="s">
        <v>112</v>
      </c>
      <c r="E62" s="409">
        <v>20.99834817</v>
      </c>
      <c r="F62" s="363">
        <v>21.57121021344275</v>
      </c>
      <c r="G62" s="305">
        <f t="shared" si="4"/>
        <v>2.728129083320896E-2</v>
      </c>
      <c r="H62" s="362">
        <v>116.86242408</v>
      </c>
      <c r="I62" s="363">
        <v>122.71493639744276</v>
      </c>
      <c r="J62" s="305">
        <f t="shared" si="5"/>
        <v>5.0080360419670233E-2</v>
      </c>
      <c r="K62" s="9"/>
      <c r="Q62" s="144"/>
      <c r="R62" s="144"/>
      <c r="T62" s="144"/>
      <c r="U62" s="144"/>
      <c r="V62" s="144"/>
      <c r="W62" s="144"/>
    </row>
    <row r="63" spans="2:23" s="1" customFormat="1">
      <c r="B63" s="8"/>
      <c r="C63" s="390" t="s">
        <v>80</v>
      </c>
      <c r="D63" s="274" t="s">
        <v>81</v>
      </c>
      <c r="E63" s="155">
        <f>E47-E62</f>
        <v>112.55067628904855</v>
      </c>
      <c r="F63" s="344">
        <f>F47-F62</f>
        <v>95.029926075436975</v>
      </c>
      <c r="G63" s="270">
        <f t="shared" ref="G63" si="7">((F63/E63)-1)</f>
        <v>-0.15566987948269118</v>
      </c>
      <c r="H63" s="228">
        <f>H47-H62</f>
        <v>887.1261359370352</v>
      </c>
      <c r="I63" s="344">
        <f>I47-I62</f>
        <v>755.3323090629649</v>
      </c>
      <c r="J63" s="270">
        <f t="shared" ref="J63" si="8">((I63/H63)-1)</f>
        <v>-0.14856266942790708</v>
      </c>
      <c r="K63" s="9"/>
      <c r="Q63" s="144"/>
      <c r="R63" s="144"/>
      <c r="T63" s="144"/>
      <c r="U63" s="144"/>
      <c r="V63" s="144"/>
      <c r="W63" s="144"/>
    </row>
    <row r="64" spans="2:23" s="1" customFormat="1" ht="13.5" thickBot="1">
      <c r="B64" s="8"/>
      <c r="C64" s="391"/>
      <c r="D64" s="276" t="s">
        <v>41</v>
      </c>
      <c r="E64" s="411">
        <f>E46</f>
        <v>51.910103347780222</v>
      </c>
      <c r="F64" s="412">
        <f>F46</f>
        <v>52.141463260873863</v>
      </c>
      <c r="G64" s="410">
        <f t="shared" si="4"/>
        <v>4.4569341645037674E-3</v>
      </c>
      <c r="H64" s="229">
        <f>H46</f>
        <v>429.3262105467258</v>
      </c>
      <c r="I64" s="315">
        <f>I46</f>
        <v>381.20016690282637</v>
      </c>
      <c r="J64" s="159">
        <f t="shared" si="5"/>
        <v>-0.11209668187417043</v>
      </c>
      <c r="K64" s="9"/>
      <c r="Q64" s="144"/>
      <c r="R64" s="144"/>
      <c r="T64" s="145">
        <f>SUM(T58:T61)</f>
        <v>4713.1937837959276</v>
      </c>
      <c r="U64" s="145">
        <f>SUM(U58:U61)</f>
        <v>4440.5947249935089</v>
      </c>
      <c r="V64" s="144"/>
      <c r="W64" s="144"/>
    </row>
    <row r="65" spans="2:22" s="1" customFormat="1" ht="14.25" thickTop="1" thickBot="1">
      <c r="B65" s="8"/>
      <c r="C65" s="376" t="s">
        <v>106</v>
      </c>
      <c r="D65" s="377"/>
      <c r="E65" s="190">
        <f>SUM(E56,E61)</f>
        <v>4713.1937837959285</v>
      </c>
      <c r="F65" s="346">
        <f>SUM(F56,F61)</f>
        <v>4440.5947249935089</v>
      </c>
      <c r="G65" s="191">
        <f t="shared" si="4"/>
        <v>-5.7837439177574557E-2</v>
      </c>
      <c r="H65" s="230">
        <f>SUM(H56,H61)</f>
        <v>33119.495509013992</v>
      </c>
      <c r="I65" s="346">
        <f>SUM(I56,I61)</f>
        <v>29419.717323526816</v>
      </c>
      <c r="J65" s="191">
        <f t="shared" si="5"/>
        <v>-0.11170998013783828</v>
      </c>
      <c r="K65" s="9"/>
      <c r="Q65" s="144"/>
      <c r="R65" s="144"/>
      <c r="S65" s="144"/>
      <c r="T65" s="144"/>
      <c r="U65" s="144"/>
      <c r="V65" s="144"/>
    </row>
    <row r="66" spans="2:22" s="1" customFormat="1">
      <c r="B66" s="8"/>
      <c r="C66" s="257" t="s">
        <v>109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4"/>
      <c r="H83" s="9"/>
      <c r="I83" s="9"/>
      <c r="J83" s="9"/>
      <c r="K83" s="9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6"/>
  <sheetViews>
    <sheetView view="pageBreakPreview" topLeftCell="A56" zoomScaleNormal="100" zoomScaleSheetLayoutView="100" workbookViewId="0">
      <selection activeCell="J61" sqref="J61"/>
    </sheetView>
  </sheetViews>
  <sheetFormatPr baseColWidth="10" defaultColWidth="11.42578125" defaultRowHeight="12.75"/>
  <cols>
    <col min="1" max="1" width="5.42578125" customWidth="1"/>
    <col min="2" max="2" width="5.42578125" style="19" customWidth="1"/>
    <col min="3" max="3" width="26.42578125" style="20" bestFit="1" customWidth="1"/>
    <col min="4" max="5" width="11.7109375" style="20" customWidth="1"/>
    <col min="6" max="6" width="9.7109375" style="20" customWidth="1"/>
    <col min="7" max="7" width="11.7109375" style="20" customWidth="1"/>
    <col min="8" max="8" width="12.7109375" style="20" customWidth="1"/>
    <col min="9" max="9" width="9.7109375" style="20" customWidth="1"/>
    <col min="10" max="10" width="6.85546875" style="20" customWidth="1"/>
    <col min="11" max="11" width="6.85546875" style="54" customWidth="1"/>
    <col min="12" max="12" width="27.5703125" style="54" customWidth="1"/>
    <col min="13" max="13" width="21.85546875" style="55" customWidth="1"/>
    <col min="14" max="21" width="11.42578125" style="55"/>
    <col min="22" max="25" width="11.42578125" style="57"/>
    <col min="26" max="28" width="11.425781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5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5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122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2139.4126893563798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1863.5103331871667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152.05819111874098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54.788630523400428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169.56756025499996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61.047438507499983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277">
        <f t="shared" si="0"/>
        <v>0.2098820453199835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4440.5947249935089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/>
      <c r="D23" s="26"/>
      <c r="E23" s="26"/>
      <c r="F23" s="309"/>
      <c r="G23" s="256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117</v>
      </c>
      <c r="D24" s="9"/>
      <c r="E24" s="13"/>
      <c r="F24" s="13"/>
      <c r="G24" s="13"/>
      <c r="H24" s="26"/>
      <c r="I24" s="26"/>
      <c r="J24" s="292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5" thickBot="1">
      <c r="B25" s="10"/>
      <c r="C25" s="129"/>
      <c r="D25" s="129"/>
      <c r="E25" s="162"/>
      <c r="F25" s="162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3" t="s">
        <v>61</v>
      </c>
      <c r="D26" s="394" t="s">
        <v>126</v>
      </c>
      <c r="E26" s="394"/>
      <c r="F26" s="395" t="s">
        <v>74</v>
      </c>
      <c r="G26" s="397" t="s">
        <v>127</v>
      </c>
      <c r="H26" s="398"/>
      <c r="I26" s="395" t="s">
        <v>74</v>
      </c>
      <c r="J26" s="20"/>
      <c r="K26" s="54"/>
      <c r="L26" s="54"/>
      <c r="M26" s="55"/>
      <c r="N26" s="70">
        <v>2019</v>
      </c>
      <c r="O26" s="70">
        <v>2020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4"/>
      <c r="D27" s="95">
        <v>2019</v>
      </c>
      <c r="E27" s="96">
        <v>2020</v>
      </c>
      <c r="F27" s="396"/>
      <c r="G27" s="232">
        <v>2019</v>
      </c>
      <c r="H27" s="96">
        <v>2020</v>
      </c>
      <c r="I27" s="396"/>
      <c r="J27" s="20"/>
      <c r="K27" s="54"/>
      <c r="L27" s="54"/>
      <c r="M27" s="55" t="s">
        <v>85</v>
      </c>
      <c r="N27" s="70">
        <f t="shared" ref="N27:O29" si="1">D28</f>
        <v>2169.1588273368793</v>
      </c>
      <c r="O27" s="70">
        <f t="shared" si="1"/>
        <v>2139.4126893563798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3" t="s">
        <v>85</v>
      </c>
      <c r="D28" s="164">
        <f>'Resumen (G)'!E41+'Resumen (G)'!E46</f>
        <v>2169.1588273368793</v>
      </c>
      <c r="E28" s="165">
        <f>'Resumen (G)'!F41+'Resumen (G)'!F46</f>
        <v>2139.4126893563798</v>
      </c>
      <c r="F28" s="166">
        <f>+E28/D28-1</f>
        <v>-1.371321343814158E-2</v>
      </c>
      <c r="G28" s="246">
        <f>'Resumen (G)'!H41+'Resumen (G)'!H46</f>
        <v>19473.828782599456</v>
      </c>
      <c r="H28" s="165">
        <f>'Resumen (G)'!I41+'Resumen (G)'!I46</f>
        <v>19767.830886003037</v>
      </c>
      <c r="I28" s="166">
        <f>+H28/G28-1</f>
        <v>1.5097293228041764E-2</v>
      </c>
      <c r="J28" s="292"/>
      <c r="K28" s="54"/>
      <c r="L28" s="54"/>
      <c r="M28" s="55" t="s">
        <v>2</v>
      </c>
      <c r="N28" s="70">
        <f t="shared" si="1"/>
        <v>2177.9590659999999</v>
      </c>
      <c r="O28" s="70">
        <f t="shared" si="1"/>
        <v>1863.5103331871667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7" t="s">
        <v>2</v>
      </c>
      <c r="D29" s="168">
        <v>2177.9590659999999</v>
      </c>
      <c r="E29" s="169">
        <v>1863.5103331871667</v>
      </c>
      <c r="F29" s="170">
        <f t="shared" ref="F29:F35" si="2">+E29/D29-1</f>
        <v>-0.14437770558761875</v>
      </c>
      <c r="G29" s="247">
        <v>11051.408398397502</v>
      </c>
      <c r="H29" s="169">
        <v>7296.8801237199477</v>
      </c>
      <c r="I29" s="170">
        <f t="shared" ref="I29:I35" si="3">+H29/G29-1</f>
        <v>-0.33973301314445814</v>
      </c>
      <c r="J29" s="254"/>
      <c r="K29" s="255"/>
      <c r="L29" s="54"/>
      <c r="M29" s="55" t="s">
        <v>84</v>
      </c>
      <c r="N29" s="70">
        <f t="shared" si="1"/>
        <v>97.314844289047869</v>
      </c>
      <c r="O29" s="70">
        <f t="shared" si="1"/>
        <v>152.05819111874098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7" t="s">
        <v>3</v>
      </c>
      <c r="D30" s="168">
        <f>'Resumen (G)'!E32-SUM('TipoRecurso (G)'!D28:D29,'TipoRecurso (G)'!D31:D34)</f>
        <v>97.314844289047869</v>
      </c>
      <c r="E30" s="169">
        <f>'Resumen (G)'!F32-SUM('TipoRecurso (G)'!E28:E29,'TipoRecurso (G)'!E31:E34)</f>
        <v>152.05819111874098</v>
      </c>
      <c r="F30" s="170">
        <f t="shared" si="2"/>
        <v>0.56253850303754849</v>
      </c>
      <c r="G30" s="247">
        <f>'Resumen (G)'!H32-SUM('TipoRecurso (G)'!G28:G29,'TipoRecurso (G)'!G31:G34)</f>
        <v>939.44223923702884</v>
      </c>
      <c r="H30" s="169">
        <f>'Resumen (G)'!I32-SUM('TipoRecurso (G)'!H28:H29,'TipoRecurso (G)'!H31:H34)</f>
        <v>687.16715200610633</v>
      </c>
      <c r="I30" s="170">
        <f t="shared" si="3"/>
        <v>-0.26853709221740829</v>
      </c>
      <c r="J30" s="292"/>
      <c r="K30" s="54"/>
      <c r="L30" s="54"/>
      <c r="M30" s="55" t="s">
        <v>4</v>
      </c>
      <c r="N30" s="99">
        <f>D34</f>
        <v>0.37544</v>
      </c>
      <c r="O30" s="99">
        <f>E34</f>
        <v>0.2098820453199835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7" t="s">
        <v>6</v>
      </c>
      <c r="D31" s="168">
        <f>'Resumen (G)'!E57+'Resumen (G)'!E62-SUM('TipoRecurso (G)'!D32:D33)</f>
        <v>53.152593170000017</v>
      </c>
      <c r="E31" s="169">
        <f>'Resumen (G)'!F57+'Resumen (G)'!F62-SUM('TipoRecurso (G)'!E32:E33)</f>
        <v>54.788630523400428</v>
      </c>
      <c r="F31" s="170">
        <f t="shared" si="2"/>
        <v>3.0780010077171793E-2</v>
      </c>
      <c r="G31" s="247">
        <f>'Resumen (G)'!H57+'Resumen (G)'!H62-SUM('TipoRecurso (G)'!G32:G33)</f>
        <v>295.86269207999999</v>
      </c>
      <c r="H31" s="169">
        <f>'Resumen (G)'!I57+'Resumen (G)'!I62-SUM('TipoRecurso (G)'!H32:H33)</f>
        <v>283.3356569249006</v>
      </c>
      <c r="I31" s="170">
        <f t="shared" si="3"/>
        <v>-4.2340705639601683E-2</v>
      </c>
      <c r="J31" s="20"/>
      <c r="K31" s="54"/>
      <c r="L31" s="54"/>
      <c r="M31" s="55" t="s">
        <v>90</v>
      </c>
      <c r="N31" s="70">
        <f t="shared" ref="N31:O33" si="4">D31</f>
        <v>53.152593170000017</v>
      </c>
      <c r="O31" s="70">
        <f t="shared" si="4"/>
        <v>54.788630523400428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7" t="s">
        <v>14</v>
      </c>
      <c r="D32" s="168">
        <f>'Resumen (G)'!E43</f>
        <v>157.87177199999999</v>
      </c>
      <c r="E32" s="169">
        <f>'Resumen (G)'!F43</f>
        <v>169.56756025499996</v>
      </c>
      <c r="F32" s="170">
        <f t="shared" si="2"/>
        <v>7.4084100702942468E-2</v>
      </c>
      <c r="G32" s="247">
        <f>'Resumen (G)'!H43</f>
        <v>957.45620500000007</v>
      </c>
      <c r="H32" s="169">
        <f>'Resumen (G)'!I43</f>
        <v>971.17595232250005</v>
      </c>
      <c r="I32" s="357">
        <f t="shared" si="3"/>
        <v>1.4329373240105525E-2</v>
      </c>
      <c r="J32" s="20"/>
      <c r="K32" s="54"/>
      <c r="L32" s="54"/>
      <c r="M32" s="55" t="s">
        <v>14</v>
      </c>
      <c r="N32" s="70">
        <f t="shared" si="4"/>
        <v>157.87177199999999</v>
      </c>
      <c r="O32" s="70">
        <f t="shared" si="4"/>
        <v>169.56756025499996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7" t="s">
        <v>5</v>
      </c>
      <c r="D33" s="168">
        <f>'Resumen (G)'!E44</f>
        <v>57.361241</v>
      </c>
      <c r="E33" s="169">
        <f>'Resumen (G)'!F44</f>
        <v>61.047438507499983</v>
      </c>
      <c r="F33" s="170">
        <f t="shared" si="2"/>
        <v>6.4262861877412814E-2</v>
      </c>
      <c r="G33" s="247">
        <f>'Resumen (G)'!H44</f>
        <v>398.84285000000006</v>
      </c>
      <c r="H33" s="169">
        <f>'Resumen (G)'!I44</f>
        <v>411.71467050499996</v>
      </c>
      <c r="I33" s="170">
        <f t="shared" si="3"/>
        <v>3.2272912765014761E-2</v>
      </c>
      <c r="J33" s="20"/>
      <c r="K33" s="54"/>
      <c r="L33" s="54"/>
      <c r="M33" s="55" t="s">
        <v>5</v>
      </c>
      <c r="N33" s="70">
        <f t="shared" si="4"/>
        <v>57.361241</v>
      </c>
      <c r="O33" s="70">
        <f t="shared" si="4"/>
        <v>61.047438507499983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5" thickBot="1">
      <c r="C34" s="171" t="s">
        <v>4</v>
      </c>
      <c r="D34" s="172">
        <v>0.37544</v>
      </c>
      <c r="E34" s="173">
        <v>0.2098820453199835</v>
      </c>
      <c r="F34" s="174">
        <f t="shared" si="2"/>
        <v>-0.44097047379079612</v>
      </c>
      <c r="G34" s="248">
        <v>2.6543416999999998</v>
      </c>
      <c r="H34" s="173">
        <v>1.6128820453199835</v>
      </c>
      <c r="I34" s="174">
        <f t="shared" si="3"/>
        <v>-0.39236080821094599</v>
      </c>
      <c r="J34" s="20"/>
      <c r="K34" s="54"/>
      <c r="L34" s="54"/>
      <c r="M34" s="97"/>
      <c r="N34" s="98">
        <f>SUM(N27:N33)</f>
        <v>4713.1937837959267</v>
      </c>
      <c r="O34" s="98">
        <f>SUM(O27:O33)</f>
        <v>4440.5947249935089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5" t="s">
        <v>106</v>
      </c>
      <c r="D35" s="296">
        <f>SUM(D28:D34)</f>
        <v>4713.1937837959267</v>
      </c>
      <c r="E35" s="297">
        <f>SUM(E28:E34)</f>
        <v>4440.5947249935089</v>
      </c>
      <c r="F35" s="298">
        <f t="shared" si="2"/>
        <v>-5.7837439177574224E-2</v>
      </c>
      <c r="G35" s="299">
        <f>SUM(G28:G34)</f>
        <v>33119.495509013985</v>
      </c>
      <c r="H35" s="297">
        <f>SUM(H28:H34)</f>
        <v>29419.717323526813</v>
      </c>
      <c r="I35" s="300">
        <f t="shared" si="3"/>
        <v>-0.11170998013783817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5"/>
      <c r="D36" s="175"/>
      <c r="E36" s="176"/>
      <c r="F36" s="177"/>
      <c r="G36" s="17"/>
      <c r="H36" s="17"/>
      <c r="I36" s="18"/>
      <c r="J36" s="20"/>
      <c r="K36" s="54"/>
      <c r="L36" s="54"/>
      <c r="M36" s="55"/>
      <c r="N36" s="98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1"/>
      <c r="N39" s="221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1">
        <f t="shared" ref="M40:N46" si="5">N27/N$34</f>
        <v>0.46023119923362782</v>
      </c>
      <c r="N40" s="221">
        <f t="shared" si="5"/>
        <v>0.48178517109766356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1">
        <f t="shared" si="5"/>
        <v>0.46209834899805635</v>
      </c>
      <c r="N41" s="221">
        <f t="shared" si="5"/>
        <v>0.41965332316830395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1">
        <f t="shared" si="5"/>
        <v>2.0647325094847284E-2</v>
      </c>
      <c r="N42" s="221">
        <f t="shared" si="5"/>
        <v>3.4242753625521018E-2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1">
        <f t="shared" si="5"/>
        <v>7.9657238217272487E-5</v>
      </c>
      <c r="N43" s="221">
        <f t="shared" si="5"/>
        <v>4.7264400000000069E-5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1">
        <f t="shared" si="5"/>
        <v>1.1277404581313823E-2</v>
      </c>
      <c r="N44" s="221">
        <f t="shared" si="5"/>
        <v>1.2338128993179065E-2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1">
        <f t="shared" si="5"/>
        <v>3.3495709966937265E-2</v>
      </c>
      <c r="N45" s="221">
        <f t="shared" si="5"/>
        <v>3.8185777076345968E-2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1">
        <f t="shared" si="5"/>
        <v>1.2170354887000259E-2</v>
      </c>
      <c r="N46" s="221">
        <f t="shared" si="5"/>
        <v>1.3747581638986256E-2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1">
        <f>N34/N$34</f>
        <v>1</v>
      </c>
      <c r="N47" s="221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5">
      <c r="B49" s="23" t="s">
        <v>100</v>
      </c>
      <c r="D49" s="26"/>
      <c r="E49" s="26"/>
      <c r="F49" s="26"/>
      <c r="G49" s="26"/>
      <c r="H49" s="26"/>
      <c r="I49" s="26"/>
      <c r="M49" s="222">
        <f>SUM(M39:M46)</f>
        <v>1.0000000000000002</v>
      </c>
      <c r="N49" s="222">
        <f>SUM(N39:N46)</f>
        <v>0.99999999999999978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118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5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>
      <c r="C53" s="392" t="s">
        <v>91</v>
      </c>
      <c r="D53" s="394" t="s">
        <v>126</v>
      </c>
      <c r="E53" s="394"/>
      <c r="F53" s="395" t="s">
        <v>74</v>
      </c>
      <c r="G53" s="397" t="s">
        <v>127</v>
      </c>
      <c r="H53" s="398"/>
      <c r="I53" s="395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93"/>
      <c r="D54" s="95">
        <v>2019</v>
      </c>
      <c r="E54" s="96">
        <v>2020</v>
      </c>
      <c r="F54" s="396"/>
      <c r="G54" s="232">
        <v>2019</v>
      </c>
      <c r="H54" s="96">
        <v>2020</v>
      </c>
      <c r="I54" s="396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2" t="s">
        <v>42</v>
      </c>
      <c r="D55" s="283">
        <f>SUM(D28:D30,D34)</f>
        <v>4444.8081776259269</v>
      </c>
      <c r="E55" s="284">
        <f>SUM(E28:E30,E34)</f>
        <v>4155.1910957076079</v>
      </c>
      <c r="F55" s="166">
        <f>+E55/D55-1</f>
        <v>-6.5158510861319074E-2</v>
      </c>
      <c r="G55" s="285">
        <f>SUM(G28:G30,G34)</f>
        <v>31467.333761933984</v>
      </c>
      <c r="H55" s="284">
        <f>SUM(H28:H30,H34)</f>
        <v>27753.491043774411</v>
      </c>
      <c r="I55" s="166">
        <f>+H55/G55-1</f>
        <v>-0.1180221605763182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75" thickBot="1">
      <c r="C56" s="286" t="s">
        <v>123</v>
      </c>
      <c r="D56" s="287">
        <f>SUM(D31:D33)</f>
        <v>268.38560617000002</v>
      </c>
      <c r="E56" s="288">
        <f>SUM(E31:E33)</f>
        <v>285.40362928590037</v>
      </c>
      <c r="F56" s="364">
        <f>+E56/D56-1</f>
        <v>6.3408851759064966E-2</v>
      </c>
      <c r="G56" s="289">
        <f>SUM(G31:G33)</f>
        <v>1652.1617470800002</v>
      </c>
      <c r="H56" s="288">
        <f>SUM(H31:H33)</f>
        <v>1666.2262797524006</v>
      </c>
      <c r="I56" s="365">
        <f>+H56/G56-1</f>
        <v>8.5128061445907122E-3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2" t="s">
        <v>71</v>
      </c>
      <c r="D57" s="100">
        <f>SUM(D55:D56)</f>
        <v>4713.1937837959267</v>
      </c>
      <c r="E57" s="101">
        <f>SUM(E55:E56)</f>
        <v>4440.594724993508</v>
      </c>
      <c r="F57" s="102">
        <f>+E57/D57-1</f>
        <v>-5.7837439177574446E-2</v>
      </c>
      <c r="G57" s="249">
        <f>SUM(G55:G56)</f>
        <v>33119.495509013985</v>
      </c>
      <c r="H57" s="101">
        <f>SUM(H55:H56)</f>
        <v>29419.717323526813</v>
      </c>
      <c r="I57" s="102">
        <f>+H57/G57-1</f>
        <v>-0.11170998013783817</v>
      </c>
      <c r="N57" s="74"/>
      <c r="O57" s="74"/>
      <c r="P57" s="74"/>
      <c r="Q57" s="74"/>
      <c r="R57" s="74"/>
      <c r="S57" s="74"/>
      <c r="T57" s="74"/>
      <c r="U57" s="74"/>
    </row>
    <row r="58" spans="2:28" ht="13.5" thickBot="1">
      <c r="C58" s="124" t="s">
        <v>8</v>
      </c>
      <c r="D58" s="103">
        <f>+D56/D57</f>
        <v>5.6943469435251352E-2</v>
      </c>
      <c r="E58" s="104">
        <f>+E56/E57</f>
        <v>6.4271487708511307E-2</v>
      </c>
      <c r="F58" s="105"/>
      <c r="G58" s="250">
        <f>+G56/G57</f>
        <v>4.9884870578126371E-2</v>
      </c>
      <c r="H58" s="104">
        <f>+H56/H57</f>
        <v>5.6636379657527408E-2</v>
      </c>
      <c r="I58" s="105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58" t="s">
        <v>124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5.5">
      <c r="L63" s="85" t="s">
        <v>57</v>
      </c>
      <c r="M63" s="76">
        <f>D55</f>
        <v>4444.8081776259269</v>
      </c>
      <c r="N63" s="76">
        <f>E55</f>
        <v>4155.1910957076079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8.25">
      <c r="B64" s="19"/>
      <c r="J64" s="20"/>
      <c r="K64" s="75"/>
      <c r="L64" s="85" t="s">
        <v>58</v>
      </c>
      <c r="M64" s="76">
        <f>D56</f>
        <v>268.38560617000002</v>
      </c>
      <c r="N64" s="76">
        <f>E56</f>
        <v>285.40362928590037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58" t="s">
        <v>124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5">
      <c r="B72" s="23" t="s">
        <v>113</v>
      </c>
    </row>
    <row r="73" spans="2:28" s="1" customFormat="1" ht="15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5">
      <c r="B74" s="23"/>
      <c r="C74" s="10" t="s">
        <v>119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5" thickBot="1">
      <c r="B75" s="19"/>
      <c r="H75" s="19"/>
      <c r="I75" s="19"/>
      <c r="J75" s="19"/>
      <c r="K75" s="57"/>
      <c r="L75" s="57"/>
      <c r="M75" s="55"/>
      <c r="N75" s="55">
        <v>2019</v>
      </c>
      <c r="O75" s="55">
        <v>2020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0"/>
      <c r="D76" s="394" t="s">
        <v>126</v>
      </c>
      <c r="E76" s="394"/>
      <c r="F76" s="106" t="s">
        <v>74</v>
      </c>
      <c r="G76" s="397" t="s">
        <v>127</v>
      </c>
      <c r="H76" s="398"/>
      <c r="I76" s="219" t="s">
        <v>74</v>
      </c>
      <c r="J76" s="19"/>
      <c r="K76" s="57"/>
      <c r="L76" s="57"/>
      <c r="M76" s="55" t="s">
        <v>96</v>
      </c>
      <c r="N76" s="70">
        <f>D78</f>
        <v>7.5367312475000023</v>
      </c>
      <c r="O76" s="70">
        <f>E78</f>
        <v>0.21500783750000002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125" t="s">
        <v>95</v>
      </c>
      <c r="D77" s="126">
        <v>2019</v>
      </c>
      <c r="E77" s="224">
        <v>2020</v>
      </c>
      <c r="F77" s="107"/>
      <c r="G77" s="331">
        <v>2019</v>
      </c>
      <c r="H77" s="96">
        <v>2020</v>
      </c>
      <c r="I77" s="220"/>
      <c r="J77" s="19"/>
      <c r="K77" s="57"/>
      <c r="L77" s="57"/>
      <c r="M77" s="55" t="s">
        <v>97</v>
      </c>
      <c r="N77" s="70">
        <f>D79</f>
        <v>4520.1979247415993</v>
      </c>
      <c r="O77" s="70">
        <f>E79</f>
        <v>4271.6371176062557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09" t="s">
        <v>96</v>
      </c>
      <c r="D78" s="155">
        <v>7.5367312475000023</v>
      </c>
      <c r="E78" s="413">
        <v>0.21500783750000002</v>
      </c>
      <c r="F78" s="156">
        <f>((E78/D78)-1)</f>
        <v>-0.97147200418333612</v>
      </c>
      <c r="G78" s="228">
        <v>183.8895437825</v>
      </c>
      <c r="H78" s="317">
        <v>22.765595387500007</v>
      </c>
      <c r="I78" s="156">
        <f>((H78/G78)-1)</f>
        <v>-0.87619962005873164</v>
      </c>
      <c r="J78" s="19"/>
      <c r="K78" s="253"/>
      <c r="L78" s="57"/>
    </row>
    <row r="79" spans="2:28" ht="16.5" customHeight="1" thickBot="1">
      <c r="C79" s="290" t="s">
        <v>97</v>
      </c>
      <c r="D79" s="158">
        <f>'Resumen (G)'!E40-D78</f>
        <v>4520.1979247415993</v>
      </c>
      <c r="E79" s="315">
        <f>'Resumen (G)'!F40-E78</f>
        <v>4271.6371176062557</v>
      </c>
      <c r="F79" s="159">
        <f>((E79/D79)-1)</f>
        <v>-5.4988921121092882E-2</v>
      </c>
      <c r="G79" s="229">
        <f>'Resumen (G)'!H40-G78</f>
        <v>31502.291194667727</v>
      </c>
      <c r="H79" s="315">
        <f>'Resumen (G)'!I40-H78</f>
        <v>28137.704315776085</v>
      </c>
      <c r="I79" s="159">
        <f>((H79/G79)-1)</f>
        <v>-0.10680451330032625</v>
      </c>
      <c r="J79" s="19"/>
      <c r="K79" s="57"/>
      <c r="L79" s="57"/>
      <c r="M79" s="70"/>
      <c r="N79" s="70"/>
      <c r="O79" s="70"/>
    </row>
    <row r="80" spans="2:28" ht="14.25" thickTop="1" thickBot="1">
      <c r="C80" s="127" t="s">
        <v>94</v>
      </c>
      <c r="D80" s="223">
        <f>SUM(D78:D79)</f>
        <v>4527.7346559890993</v>
      </c>
      <c r="E80" s="316">
        <f>SUM(E78:E79)</f>
        <v>4271.8521254437555</v>
      </c>
      <c r="F80" s="128"/>
      <c r="G80" s="251">
        <f>SUM(G78:G79)</f>
        <v>31686.180738450228</v>
      </c>
      <c r="H80" s="316">
        <f>SUM(H78:H79)</f>
        <v>28160.469911163585</v>
      </c>
      <c r="I80" s="128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68"/>
  <sheetViews>
    <sheetView view="pageBreakPreview" topLeftCell="A35" zoomScale="70" zoomScaleNormal="100" zoomScaleSheetLayoutView="70" workbookViewId="0">
      <selection activeCell="C54" sqref="C54:H61"/>
    </sheetView>
  </sheetViews>
  <sheetFormatPr baseColWidth="10" defaultColWidth="11.42578125" defaultRowHeight="12.75"/>
  <cols>
    <col min="1" max="1" width="5.42578125" customWidth="1"/>
    <col min="2" max="2" width="3.85546875" style="19" customWidth="1"/>
    <col min="3" max="3" width="27.85546875" style="20" customWidth="1"/>
    <col min="4" max="5" width="11.7109375" style="20" customWidth="1"/>
    <col min="6" max="6" width="9.7109375" style="20" customWidth="1"/>
    <col min="7" max="7" width="13" style="20" customWidth="1"/>
    <col min="8" max="8" width="13.140625" style="20" customWidth="1"/>
    <col min="9" max="9" width="9.5703125" style="20" customWidth="1"/>
    <col min="10" max="10" width="3.7109375" style="20" customWidth="1"/>
    <col min="11" max="11" width="9" customWidth="1"/>
    <col min="13" max="13" width="12" customWidth="1"/>
    <col min="14" max="14" width="6.5703125" bestFit="1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2:13" ht="15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5">
      <c r="C3" s="22"/>
      <c r="D3" s="3"/>
      <c r="E3" s="22"/>
      <c r="F3" s="22"/>
      <c r="G3" s="22"/>
      <c r="H3" s="22"/>
      <c r="I3" s="22"/>
      <c r="J3" s="22"/>
    </row>
    <row r="4" spans="2:13" ht="15">
      <c r="C4" s="23" t="s">
        <v>120</v>
      </c>
      <c r="D4" s="3"/>
      <c r="E4" s="23"/>
      <c r="F4" s="23"/>
      <c r="G4" s="23"/>
      <c r="H4" s="23"/>
      <c r="I4" s="23"/>
      <c r="J4" s="23"/>
    </row>
    <row r="6" spans="2:13">
      <c r="C6" s="10" t="s">
        <v>129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1" t="s">
        <v>44</v>
      </c>
      <c r="D8" s="406" t="s">
        <v>126</v>
      </c>
      <c r="E8" s="407"/>
      <c r="F8" s="395" t="s">
        <v>74</v>
      </c>
      <c r="G8" s="397" t="s">
        <v>127</v>
      </c>
      <c r="H8" s="398"/>
      <c r="I8" s="395" t="s">
        <v>74</v>
      </c>
      <c r="J8" s="26"/>
    </row>
    <row r="9" spans="2:13" s="1" customFormat="1" ht="13.5" customHeight="1">
      <c r="B9" s="19"/>
      <c r="C9" s="202"/>
      <c r="D9" s="110">
        <v>2019</v>
      </c>
      <c r="E9" s="96">
        <v>2020</v>
      </c>
      <c r="F9" s="396"/>
      <c r="G9" s="232">
        <v>2019</v>
      </c>
      <c r="H9" s="96">
        <v>2020</v>
      </c>
      <c r="I9" s="396"/>
      <c r="J9" s="26"/>
    </row>
    <row r="10" spans="2:13">
      <c r="C10" s="192" t="s">
        <v>10</v>
      </c>
      <c r="D10" s="193">
        <f>'Por Región (G)'!O8</f>
        <v>264.29097374425174</v>
      </c>
      <c r="E10" s="194">
        <f>'Por Región (G)'!P8</f>
        <v>335.27549136077334</v>
      </c>
      <c r="F10" s="366">
        <f>+E10/D10-1</f>
        <v>0.2685847216455135</v>
      </c>
      <c r="G10" s="327">
        <f>'Por Región (G)'!Q8</f>
        <v>2112.3713981561154</v>
      </c>
      <c r="H10" s="194">
        <f>'Por Región (G)'!R8</f>
        <v>2057.8281794008135</v>
      </c>
      <c r="I10" s="366">
        <f>+H10/G10-1</f>
        <v>-2.5820847036137962E-2</v>
      </c>
      <c r="J10" s="26"/>
      <c r="L10" s="144" t="s">
        <v>9</v>
      </c>
      <c r="M10" s="225">
        <f>E11</f>
        <v>3598.8737074783071</v>
      </c>
    </row>
    <row r="11" spans="2:13">
      <c r="C11" s="195" t="s">
        <v>9</v>
      </c>
      <c r="D11" s="196">
        <f>'Por Región (G)'!O9</f>
        <v>3870.6684482372493</v>
      </c>
      <c r="E11" s="197">
        <f>'Por Región (G)'!P9</f>
        <v>3598.8737074783071</v>
      </c>
      <c r="F11" s="367">
        <f>+E11/D11-1</f>
        <v>-7.0219070528430572E-2</v>
      </c>
      <c r="G11" s="328">
        <f>'Por Región (G)'!Q9</f>
        <v>26431.887794962229</v>
      </c>
      <c r="H11" s="197">
        <f>'Por Región (G)'!R9</f>
        <v>23091.510978955317</v>
      </c>
      <c r="I11" s="367">
        <f>+H11/G11-1</f>
        <v>-0.12637677800083469</v>
      </c>
      <c r="J11" s="26"/>
      <c r="L11" s="144" t="s">
        <v>12</v>
      </c>
      <c r="M11" s="225">
        <f>E12</f>
        <v>478.82041628047159</v>
      </c>
    </row>
    <row r="12" spans="2:13">
      <c r="C12" s="195" t="s">
        <v>12</v>
      </c>
      <c r="D12" s="196">
        <f>'Por Región (G)'!O10</f>
        <v>522.64330208109448</v>
      </c>
      <c r="E12" s="197">
        <f>'Por Región (G)'!P10</f>
        <v>478.82041628047159</v>
      </c>
      <c r="F12" s="367">
        <f>+E12/D12-1</f>
        <v>-8.3848555269198211E-2</v>
      </c>
      <c r="G12" s="328">
        <f>'Por Región (G)'!Q10</f>
        <v>4108.6780497623158</v>
      </c>
      <c r="H12" s="197">
        <f>'Por Región (G)'!R10</f>
        <v>3945.4385520753262</v>
      </c>
      <c r="I12" s="367">
        <f>+H12/G12-1</f>
        <v>-3.9730418326749395E-2</v>
      </c>
      <c r="J12" s="26"/>
      <c r="L12" s="144" t="s">
        <v>10</v>
      </c>
      <c r="M12" s="225">
        <f>E10</f>
        <v>335.27549136077334</v>
      </c>
    </row>
    <row r="13" spans="2:13">
      <c r="C13" s="198" t="s">
        <v>11</v>
      </c>
      <c r="D13" s="199">
        <f>'Por Región (G)'!O11</f>
        <v>55.591059733333324</v>
      </c>
      <c r="E13" s="200">
        <f>'Por Región (G)'!P11</f>
        <v>27.62510987395595</v>
      </c>
      <c r="F13" s="368">
        <f>+E13/D13-1</f>
        <v>-0.50306560071939987</v>
      </c>
      <c r="G13" s="329">
        <f>'Por Región (G)'!Q11</f>
        <v>466.55826613333335</v>
      </c>
      <c r="H13" s="200">
        <f>'Por Región (G)'!R11</f>
        <v>324.93961309535587</v>
      </c>
      <c r="I13" s="368">
        <f>+H13/G13-1</f>
        <v>-0.30353905035626483</v>
      </c>
      <c r="J13" s="26"/>
      <c r="L13" s="144" t="s">
        <v>11</v>
      </c>
      <c r="M13" s="225">
        <f>E13</f>
        <v>27.62510987395595</v>
      </c>
    </row>
    <row r="14" spans="2:13" ht="13.5" thickBot="1">
      <c r="C14" s="203" t="s">
        <v>106</v>
      </c>
      <c r="D14" s="204">
        <f>SUM(D10:D13)</f>
        <v>4713.1937837959285</v>
      </c>
      <c r="E14" s="205">
        <f>SUM(E10:E13)</f>
        <v>4440.594724993508</v>
      </c>
      <c r="F14" s="206">
        <f>+E14/D14-1</f>
        <v>-5.7837439177574779E-2</v>
      </c>
      <c r="G14" s="330">
        <f>SUM(G10:G13)</f>
        <v>33119.495509013992</v>
      </c>
      <c r="H14" s="205">
        <f>SUM(H10:H13)</f>
        <v>29419.717323526816</v>
      </c>
      <c r="I14" s="206">
        <f>+H14/G14-1</f>
        <v>-0.11170998013783828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5">
      <c r="C16" s="23" t="s">
        <v>130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403" t="s">
        <v>93</v>
      </c>
      <c r="D18" s="403"/>
      <c r="E18" s="403"/>
      <c r="F18" s="403"/>
      <c r="G18" s="404" t="s">
        <v>105</v>
      </c>
      <c r="H18" s="405"/>
      <c r="I18" s="405"/>
      <c r="J18" s="405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5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23" t="s">
        <v>12</v>
      </c>
      <c r="R44" s="30" t="s">
        <v>38</v>
      </c>
    </row>
    <row r="45" spans="3:26" ht="13.5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3">
      <c r="C49" s="25"/>
      <c r="D49" s="19"/>
      <c r="E49" s="19"/>
      <c r="F49" s="19"/>
      <c r="G49" s="19"/>
      <c r="H49" s="19"/>
      <c r="I49" s="19"/>
      <c r="J49" s="19"/>
    </row>
    <row r="50" spans="3:13">
      <c r="C50" s="25"/>
      <c r="D50" s="19"/>
      <c r="E50" s="19"/>
      <c r="F50" s="19"/>
      <c r="G50" s="19"/>
      <c r="H50" s="19"/>
      <c r="I50" s="19"/>
      <c r="J50" s="19"/>
    </row>
    <row r="51" spans="3:13">
      <c r="C51" s="25"/>
      <c r="D51" s="19"/>
      <c r="E51" s="19"/>
      <c r="F51" s="19"/>
      <c r="G51" s="19"/>
      <c r="H51" s="19"/>
      <c r="I51" s="19"/>
      <c r="J51" s="19"/>
    </row>
    <row r="52" spans="3:13">
      <c r="C52" s="25"/>
      <c r="D52" s="19"/>
      <c r="E52" s="19"/>
      <c r="F52" s="19"/>
      <c r="G52" s="19"/>
      <c r="H52" s="19"/>
      <c r="I52" s="37"/>
      <c r="J52" s="19"/>
    </row>
    <row r="53" spans="3:13" ht="13.5" thickBot="1">
      <c r="C53" s="207" t="s">
        <v>98</v>
      </c>
      <c r="D53" s="87"/>
      <c r="E53" s="87"/>
      <c r="F53" s="87"/>
      <c r="G53" s="87"/>
      <c r="H53" s="87"/>
      <c r="I53" s="37"/>
      <c r="J53" s="19"/>
    </row>
    <row r="54" spans="3:13">
      <c r="C54" s="399" t="s">
        <v>13</v>
      </c>
      <c r="D54" s="401" t="s">
        <v>131</v>
      </c>
      <c r="E54" s="402"/>
      <c r="F54" s="402"/>
      <c r="G54" s="402"/>
      <c r="H54" s="402"/>
      <c r="I54" s="19"/>
      <c r="J54" s="19"/>
    </row>
    <row r="55" spans="3:13">
      <c r="C55" s="400"/>
      <c r="D55" s="113" t="s">
        <v>14</v>
      </c>
      <c r="E55" s="335" t="s">
        <v>15</v>
      </c>
      <c r="F55" s="335" t="s">
        <v>5</v>
      </c>
      <c r="G55" s="114" t="s">
        <v>16</v>
      </c>
      <c r="H55" s="348" t="s">
        <v>71</v>
      </c>
      <c r="I55" s="19"/>
      <c r="J55" s="19"/>
    </row>
    <row r="56" spans="3:13">
      <c r="C56" s="208" t="s">
        <v>10</v>
      </c>
      <c r="D56" s="324">
        <f>'Resumen (G)'!F14-'PorZona (G)'!D58</f>
        <v>91.338890374999963</v>
      </c>
      <c r="E56" s="336">
        <v>107.06669023598954</v>
      </c>
      <c r="F56" s="336">
        <v>0</v>
      </c>
      <c r="G56" s="212">
        <v>136.86991074978386</v>
      </c>
      <c r="H56" s="349">
        <f>SUM(D56:G56)</f>
        <v>335.27549136077334</v>
      </c>
      <c r="I56" s="319"/>
      <c r="K56" s="301"/>
      <c r="L56" s="314"/>
      <c r="M56" s="358"/>
    </row>
    <row r="57" spans="3:13">
      <c r="C57" s="209" t="s">
        <v>9</v>
      </c>
      <c r="D57" s="325">
        <v>0</v>
      </c>
      <c r="E57" s="337">
        <v>1753.1816252996914</v>
      </c>
      <c r="F57" s="338">
        <v>7.3369999999999998E-3</v>
      </c>
      <c r="G57" s="213">
        <v>1845.6847451786157</v>
      </c>
      <c r="H57" s="350">
        <f>SUM(D57:G57)</f>
        <v>3598.8737074783071</v>
      </c>
      <c r="I57" s="319"/>
      <c r="K57" s="301"/>
      <c r="L57" s="314"/>
      <c r="M57" s="358"/>
    </row>
    <row r="58" spans="3:13">
      <c r="C58" s="209" t="s">
        <v>12</v>
      </c>
      <c r="D58" s="325">
        <v>78.228669879999998</v>
      </c>
      <c r="E58" s="337">
        <v>279.16437382069876</v>
      </c>
      <c r="F58" s="339">
        <f>'Resumen (G)'!D15-0.007337</f>
        <v>61.040101507499983</v>
      </c>
      <c r="G58" s="213">
        <v>60.387271072272881</v>
      </c>
      <c r="H58" s="350">
        <f>SUM(D58:G58)</f>
        <v>478.82041628047159</v>
      </c>
      <c r="I58" s="319"/>
      <c r="K58" s="301"/>
      <c r="L58" s="314"/>
      <c r="M58" s="358"/>
    </row>
    <row r="59" spans="3:13">
      <c r="C59" s="210" t="s">
        <v>11</v>
      </c>
      <c r="D59" s="326">
        <v>0</v>
      </c>
      <c r="E59" s="340">
        <v>0</v>
      </c>
      <c r="F59" s="340">
        <v>0</v>
      </c>
      <c r="G59" s="214">
        <f>E13</f>
        <v>27.62510987395595</v>
      </c>
      <c r="H59" s="351">
        <f>SUM(D59:G59)</f>
        <v>27.62510987395595</v>
      </c>
      <c r="I59" s="319"/>
      <c r="K59" s="19"/>
      <c r="L59" s="314"/>
      <c r="M59" s="314"/>
    </row>
    <row r="60" spans="3:13" ht="13.5" thickBot="1">
      <c r="C60" s="115" t="s">
        <v>106</v>
      </c>
      <c r="D60" s="215">
        <f>SUM(D56:D59)</f>
        <v>169.56756025499996</v>
      </c>
      <c r="E60" s="341">
        <f>SUM(E56:E59)</f>
        <v>2139.4126893563798</v>
      </c>
      <c r="F60" s="341">
        <f>SUM(F56:F59)</f>
        <v>61.047438507499983</v>
      </c>
      <c r="G60" s="216">
        <f>SUM(G56:G59)</f>
        <v>2070.5670368746282</v>
      </c>
      <c r="H60" s="352">
        <f>SUM(H56:H59)</f>
        <v>4440.594724993508</v>
      </c>
      <c r="I60" s="19"/>
      <c r="J60" s="19"/>
      <c r="M60" s="314"/>
    </row>
    <row r="61" spans="3:13" ht="6.75" customHeight="1">
      <c r="C61" s="19"/>
      <c r="D61" s="19"/>
      <c r="E61" s="19"/>
      <c r="F61" s="19"/>
      <c r="G61" s="19"/>
      <c r="H61" s="19"/>
      <c r="I61" s="19"/>
      <c r="J61" s="19"/>
    </row>
    <row r="62" spans="3:13">
      <c r="C62" s="19"/>
      <c r="D62" s="19"/>
      <c r="E62" s="19"/>
      <c r="F62" s="19"/>
      <c r="G62" s="19"/>
      <c r="H62" s="19"/>
      <c r="I62" s="19"/>
      <c r="J62" s="19"/>
    </row>
    <row r="63" spans="3:13">
      <c r="C63" s="19"/>
      <c r="D63" s="19"/>
      <c r="E63" s="19"/>
      <c r="F63" s="301"/>
      <c r="G63" s="19"/>
      <c r="H63" s="19"/>
      <c r="I63" s="19"/>
      <c r="J63" s="19"/>
    </row>
    <row r="64" spans="3:13">
      <c r="F64" s="301"/>
      <c r="H64" s="121"/>
    </row>
    <row r="65" spans="5:6">
      <c r="F65" s="301"/>
    </row>
    <row r="67" spans="5:6">
      <c r="E67" s="322"/>
    </row>
    <row r="68" spans="5:6">
      <c r="E68" s="121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93"/>
  <sheetViews>
    <sheetView tabSelected="1" view="pageBreakPreview" topLeftCell="A14" zoomScale="90" zoomScaleNormal="100" zoomScaleSheetLayoutView="90" workbookViewId="0">
      <selection activeCell="C6" sqref="C6:I33"/>
    </sheetView>
  </sheetViews>
  <sheetFormatPr baseColWidth="10" defaultColWidth="11.42578125" defaultRowHeight="12.75"/>
  <cols>
    <col min="1" max="1" width="5.42578125" style="1" customWidth="1"/>
    <col min="2" max="2" width="5.42578125" style="19" customWidth="1"/>
    <col min="3" max="3" width="24.28515625" style="20" customWidth="1"/>
    <col min="4" max="4" width="11.7109375" style="20" bestFit="1" customWidth="1"/>
    <col min="5" max="5" width="11.7109375" style="20" customWidth="1"/>
    <col min="6" max="6" width="9.7109375" style="20" customWidth="1"/>
    <col min="7" max="8" width="11.7109375" style="20" customWidth="1"/>
    <col min="9" max="9" width="9.7109375" style="20" customWidth="1"/>
    <col min="10" max="10" width="12.28515625" style="20" customWidth="1"/>
    <col min="11" max="11" width="9.7109375" style="9" customWidth="1"/>
    <col min="12" max="12" width="10.28515625" style="9" customWidth="1"/>
    <col min="13" max="13" width="11.42578125" style="9"/>
    <col min="14" max="14" width="14.5703125" style="9" customWidth="1"/>
    <col min="15" max="15" width="14.5703125" style="9" bestFit="1" customWidth="1"/>
    <col min="16" max="16" width="13.5703125" style="9" customWidth="1"/>
    <col min="17" max="17" width="12.7109375" style="9" bestFit="1" customWidth="1"/>
    <col min="18" max="18" width="14.28515625" style="9" bestFit="1" customWidth="1"/>
    <col min="19" max="19" width="14.42578125" style="9" customWidth="1"/>
    <col min="20" max="20" width="13.28515625" style="15" customWidth="1"/>
    <col min="21" max="16384" width="11.42578125" style="1"/>
  </cols>
  <sheetData>
    <row r="1" spans="3:19" ht="15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5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5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5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5" thickBot="1">
      <c r="C5"/>
      <c r="D5"/>
      <c r="E5"/>
      <c r="F5"/>
      <c r="G5"/>
    </row>
    <row r="6" spans="3:19" ht="12.75" customHeight="1">
      <c r="C6" s="108" t="s">
        <v>60</v>
      </c>
      <c r="D6" s="406" t="s">
        <v>126</v>
      </c>
      <c r="E6" s="407"/>
      <c r="F6" s="395" t="s">
        <v>74</v>
      </c>
      <c r="G6" s="397" t="s">
        <v>127</v>
      </c>
      <c r="H6" s="398"/>
      <c r="I6" s="395" t="s">
        <v>74</v>
      </c>
      <c r="O6" s="47"/>
      <c r="P6" s="86"/>
      <c r="Q6" s="408" t="s">
        <v>114</v>
      </c>
      <c r="R6" s="408"/>
    </row>
    <row r="7" spans="3:19" ht="12.75" customHeight="1">
      <c r="C7" s="109"/>
      <c r="D7" s="110">
        <v>2019</v>
      </c>
      <c r="E7" s="96">
        <v>2020</v>
      </c>
      <c r="F7" s="396"/>
      <c r="G7" s="232">
        <v>2019</v>
      </c>
      <c r="H7" s="96">
        <v>2020</v>
      </c>
      <c r="I7" s="396"/>
      <c r="N7" s="54"/>
      <c r="O7" s="311">
        <v>2019</v>
      </c>
      <c r="P7" s="313">
        <v>2020</v>
      </c>
      <c r="Q7" s="54">
        <v>2019</v>
      </c>
      <c r="R7" s="54">
        <v>2020</v>
      </c>
    </row>
    <row r="8" spans="3:19" ht="20.100000000000001" customHeight="1">
      <c r="C8" s="117" t="s">
        <v>17</v>
      </c>
      <c r="D8" s="217">
        <v>3.9859140000000002</v>
      </c>
      <c r="E8" s="278">
        <v>3.1553046134020781</v>
      </c>
      <c r="F8" s="369">
        <f>+E8/D8-1</f>
        <v>-0.20838617857734065</v>
      </c>
      <c r="G8" s="233">
        <v>35.723475000000001</v>
      </c>
      <c r="H8" s="278">
        <v>21.453666187010391</v>
      </c>
      <c r="I8" s="369">
        <f>+H8/G8-1</f>
        <v>-0.39945186779812458</v>
      </c>
      <c r="J8" s="26"/>
      <c r="K8" s="46"/>
      <c r="L8" s="46"/>
      <c r="N8" s="57" t="s">
        <v>10</v>
      </c>
      <c r="O8" s="71">
        <f>SUM(D8,D13,D20,D21,D27,D29,D31)</f>
        <v>264.29097374425174</v>
      </c>
      <c r="P8" s="71">
        <f t="shared" ref="P8" si="0">SUM(E8,E13,E20,E21,E27,E29,E31)</f>
        <v>335.27549136077334</v>
      </c>
      <c r="Q8" s="71">
        <f>SUM(G8,G13,G20,G21,G27,G29,G31)</f>
        <v>2112.3713981561154</v>
      </c>
      <c r="R8" s="71">
        <f>SUM(H8,H13,H20,H21,H27,H29,H31)</f>
        <v>2057.8281794008135</v>
      </c>
    </row>
    <row r="9" spans="3:19" ht="20.100000000000001" customHeight="1">
      <c r="C9" s="118" t="s">
        <v>18</v>
      </c>
      <c r="D9" s="218">
        <v>101.90379170000001</v>
      </c>
      <c r="E9" s="279">
        <v>98.775503997415427</v>
      </c>
      <c r="F9" s="370">
        <f t="shared" ref="F9:F32" si="1">+E9/D9-1</f>
        <v>-3.0698442623156907E-2</v>
      </c>
      <c r="G9" s="234">
        <v>1464.1787088999999</v>
      </c>
      <c r="H9" s="279">
        <v>1444.9729783497717</v>
      </c>
      <c r="I9" s="372">
        <f t="shared" ref="I9:I32" si="2">+H9/G9-1</f>
        <v>-1.311706722238648E-2</v>
      </c>
      <c r="J9" s="26"/>
      <c r="K9" s="46"/>
      <c r="L9" s="46"/>
      <c r="N9" s="57" t="s">
        <v>9</v>
      </c>
      <c r="O9" s="311">
        <f>SUM(D9,D14,D16,D17,D19,D22,D26,D32)</f>
        <v>3870.6684482372493</v>
      </c>
      <c r="P9" s="311">
        <f>SUM(E9,E14,E16,E17,E19,E22,E26,E32)</f>
        <v>3598.8737074783071</v>
      </c>
      <c r="Q9" s="311">
        <f>SUM(G9,G14,G16,G17,G19,G22,G26,G32)</f>
        <v>26431.887794962229</v>
      </c>
      <c r="R9" s="311">
        <f>SUM(H9,H14,H16,H17,H19,H22,H26,H32)</f>
        <v>23091.510978955317</v>
      </c>
    </row>
    <row r="10" spans="3:19" ht="20.100000000000001" customHeight="1">
      <c r="C10" s="119" t="s">
        <v>19</v>
      </c>
      <c r="D10" s="218">
        <v>3.0281047118400459</v>
      </c>
      <c r="E10" s="279">
        <v>4.3459420860331734</v>
      </c>
      <c r="F10" s="370">
        <f t="shared" si="1"/>
        <v>0.43520204867431267</v>
      </c>
      <c r="G10" s="234">
        <v>28.161947607038005</v>
      </c>
      <c r="H10" s="279">
        <v>31.971366207723591</v>
      </c>
      <c r="I10" s="370">
        <f t="shared" si="2"/>
        <v>0.13526829372175841</v>
      </c>
      <c r="J10" s="26"/>
      <c r="K10" s="46"/>
      <c r="L10" s="46"/>
      <c r="N10" s="54" t="s">
        <v>12</v>
      </c>
      <c r="O10" s="311">
        <f>SUM(D10,D11,D12,D15,D18,D24,D25,D28,D30)</f>
        <v>522.64330208109448</v>
      </c>
      <c r="P10" s="311">
        <f t="shared" ref="P10" si="3">SUM(E10,E11,E12,E15,E18,E24,E25,E28,E30)</f>
        <v>478.82041628047159</v>
      </c>
      <c r="Q10" s="311">
        <f>SUM(G10,G11,G12,G15,G18,G24,G25,G28,G30)</f>
        <v>4108.6780497623158</v>
      </c>
      <c r="R10" s="311">
        <f>SUM(H10,H11,H12,H15,H18,H24,H25,H28,H30)</f>
        <v>3945.4385520753262</v>
      </c>
    </row>
    <row r="11" spans="3:19" ht="20.100000000000001" customHeight="1">
      <c r="C11" s="118" t="s">
        <v>20</v>
      </c>
      <c r="D11" s="218">
        <v>91.51518803588165</v>
      </c>
      <c r="E11" s="279">
        <v>91.194961557055791</v>
      </c>
      <c r="F11" s="371">
        <f t="shared" si="1"/>
        <v>-3.49916211394663E-3</v>
      </c>
      <c r="G11" s="234">
        <v>717.66779283473056</v>
      </c>
      <c r="H11" s="279">
        <v>772.10782077532861</v>
      </c>
      <c r="I11" s="370">
        <f t="shared" si="2"/>
        <v>7.5856863696731169E-2</v>
      </c>
      <c r="J11" s="26"/>
      <c r="K11" s="46"/>
      <c r="L11" s="46"/>
      <c r="N11" s="312" t="s">
        <v>11</v>
      </c>
      <c r="O11" s="71">
        <f>D23</f>
        <v>55.591059733333324</v>
      </c>
      <c r="P11" s="71">
        <f t="shared" ref="P11" si="4">E23</f>
        <v>27.62510987395595</v>
      </c>
      <c r="Q11" s="71">
        <f>G23</f>
        <v>466.55826613333335</v>
      </c>
      <c r="R11" s="71">
        <f>H23</f>
        <v>324.93961309535587</v>
      </c>
    </row>
    <row r="12" spans="3:19" ht="20.100000000000001" customHeight="1">
      <c r="C12" s="118" t="s">
        <v>21</v>
      </c>
      <c r="D12" s="333">
        <v>0.69219709920607975</v>
      </c>
      <c r="E12" s="306">
        <v>0.88401647404924466</v>
      </c>
      <c r="F12" s="370">
        <f t="shared" si="1"/>
        <v>0.27711669849985432</v>
      </c>
      <c r="G12" s="234">
        <v>5.0652994638802769</v>
      </c>
      <c r="H12" s="279">
        <v>6.4075792664409832</v>
      </c>
      <c r="I12" s="370">
        <f t="shared" si="2"/>
        <v>0.26499515223774184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8" t="s">
        <v>22</v>
      </c>
      <c r="D13" s="218">
        <v>59.852605482512402</v>
      </c>
      <c r="E13" s="279">
        <v>82.984974144458249</v>
      </c>
      <c r="F13" s="370">
        <f t="shared" si="1"/>
        <v>0.3864889168225869</v>
      </c>
      <c r="G13" s="234">
        <v>770.02385713990816</v>
      </c>
      <c r="H13" s="279">
        <v>752.60091201620526</v>
      </c>
      <c r="I13" s="370">
        <f t="shared" si="2"/>
        <v>-2.2626500415736217E-2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8" t="s">
        <v>59</v>
      </c>
      <c r="D14" s="218">
        <v>329.44027246531084</v>
      </c>
      <c r="E14" s="279">
        <v>334.91820925197737</v>
      </c>
      <c r="F14" s="370">
        <f t="shared" si="1"/>
        <v>1.6628011947881438E-2</v>
      </c>
      <c r="G14" s="234">
        <v>1857.9281786546755</v>
      </c>
      <c r="H14" s="279">
        <v>1130.3257310763422</v>
      </c>
      <c r="I14" s="370">
        <f t="shared" si="2"/>
        <v>-0.39162033061212831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8" t="s">
        <v>23</v>
      </c>
      <c r="D15" s="218">
        <v>155.38484706666665</v>
      </c>
      <c r="E15" s="279">
        <v>153.81204863416667</v>
      </c>
      <c r="F15" s="370">
        <f t="shared" si="1"/>
        <v>-1.0121955018079665E-2</v>
      </c>
      <c r="G15" s="234">
        <v>1295.3474944666666</v>
      </c>
      <c r="H15" s="279">
        <v>1159.4160856816666</v>
      </c>
      <c r="I15" s="372">
        <f t="shared" si="2"/>
        <v>-0.10493818019153778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8" t="s">
        <v>24</v>
      </c>
      <c r="D16" s="218">
        <v>845.36494844865911</v>
      </c>
      <c r="E16" s="279">
        <v>838.56408751446975</v>
      </c>
      <c r="F16" s="370">
        <f t="shared" si="1"/>
        <v>-8.0448816178974036E-3</v>
      </c>
      <c r="G16" s="234">
        <v>6162.1452793554881</v>
      </c>
      <c r="H16" s="279">
        <v>6308.5671918265662</v>
      </c>
      <c r="I16" s="371">
        <f t="shared" si="2"/>
        <v>2.3761515808726985E-2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8" t="s">
        <v>25</v>
      </c>
      <c r="D17" s="218">
        <v>104.30980413333333</v>
      </c>
      <c r="E17" s="279">
        <v>88.699791493333365</v>
      </c>
      <c r="F17" s="370">
        <f t="shared" si="1"/>
        <v>-0.14965048366926825</v>
      </c>
      <c r="G17" s="234">
        <v>1704.6192659333333</v>
      </c>
      <c r="H17" s="279">
        <v>1649.3263090558335</v>
      </c>
      <c r="I17" s="372">
        <f t="shared" si="2"/>
        <v>-3.2437130086773514E-2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8" t="s">
        <v>26</v>
      </c>
      <c r="D18" s="218">
        <v>146.73601406666668</v>
      </c>
      <c r="E18" s="279">
        <v>106.13550811333332</v>
      </c>
      <c r="F18" s="370">
        <f t="shared" si="1"/>
        <v>-0.27669080567288207</v>
      </c>
      <c r="G18" s="234">
        <v>1007.9078404666667</v>
      </c>
      <c r="H18" s="279">
        <v>842.72258395083327</v>
      </c>
      <c r="I18" s="370">
        <f t="shared" si="2"/>
        <v>-0.16388924650030678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8" t="s">
        <v>27</v>
      </c>
      <c r="D19" s="218">
        <v>188.33339546666667</v>
      </c>
      <c r="E19" s="279">
        <v>181.73468991916653</v>
      </c>
      <c r="F19" s="370">
        <f t="shared" si="1"/>
        <v>-3.5037363029267188E-2</v>
      </c>
      <c r="G19" s="234">
        <v>1836.9335342666668</v>
      </c>
      <c r="H19" s="279">
        <v>1877.0410672966666</v>
      </c>
      <c r="I19" s="372">
        <f t="shared" si="2"/>
        <v>2.1833959847660678E-2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8" t="s">
        <v>28</v>
      </c>
      <c r="D20" s="218">
        <v>57.587329796733947</v>
      </c>
      <c r="E20" s="279">
        <v>109.5380073309021</v>
      </c>
      <c r="F20" s="372">
        <f t="shared" si="1"/>
        <v>0.90211992321120826</v>
      </c>
      <c r="G20" s="234">
        <v>415.38296201116964</v>
      </c>
      <c r="H20" s="279">
        <v>485.75731852493823</v>
      </c>
      <c r="I20" s="370">
        <f t="shared" si="2"/>
        <v>0.16942042151424652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8" t="s">
        <v>29</v>
      </c>
      <c r="D21" s="333">
        <v>4.7079095166666676</v>
      </c>
      <c r="E21" s="306">
        <v>4.6351344566666688</v>
      </c>
      <c r="F21" s="370">
        <f t="shared" si="1"/>
        <v>-1.5458041354101004E-2</v>
      </c>
      <c r="G21" s="234">
        <v>36.202918366666673</v>
      </c>
      <c r="H21" s="279">
        <v>34.582142609166674</v>
      </c>
      <c r="I21" s="370">
        <f t="shared" si="2"/>
        <v>-4.476920178325472E-2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8" t="s">
        <v>30</v>
      </c>
      <c r="D22" s="218">
        <v>2213.5372586899462</v>
      </c>
      <c r="E22" s="279">
        <v>1993.0235845469444</v>
      </c>
      <c r="F22" s="370">
        <f t="shared" si="1"/>
        <v>-9.9620493523343678E-2</v>
      </c>
      <c r="G22" s="234">
        <v>12645.205985177359</v>
      </c>
      <c r="H22" s="279">
        <v>10049.869075175135</v>
      </c>
      <c r="I22" s="370">
        <f t="shared" si="2"/>
        <v>-0.20524275468857245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8" t="s">
        <v>31</v>
      </c>
      <c r="D23" s="218">
        <v>55.591059733333324</v>
      </c>
      <c r="E23" s="279">
        <v>27.62510987395595</v>
      </c>
      <c r="F23" s="370">
        <f t="shared" si="1"/>
        <v>-0.50306560071939987</v>
      </c>
      <c r="G23" s="234">
        <v>466.55826613333335</v>
      </c>
      <c r="H23" s="279">
        <v>324.93961309535587</v>
      </c>
      <c r="I23" s="370">
        <f t="shared" si="2"/>
        <v>-0.30353905035626483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8" t="s">
        <v>32</v>
      </c>
      <c r="D24" s="354">
        <v>0.11416400000000002</v>
      </c>
      <c r="E24" s="353">
        <v>9.7267767500000005E-2</v>
      </c>
      <c r="F24" s="370">
        <f t="shared" si="1"/>
        <v>-0.14799965400651705</v>
      </c>
      <c r="G24" s="234">
        <v>1.0074490000000003</v>
      </c>
      <c r="H24" s="279">
        <v>4.7531185774999996</v>
      </c>
      <c r="I24" s="372">
        <f t="shared" si="2"/>
        <v>3.7179743862964756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8" t="s">
        <v>33</v>
      </c>
      <c r="D25" s="218">
        <v>55.275218333333328</v>
      </c>
      <c r="E25" s="279">
        <v>53.653735468333323</v>
      </c>
      <c r="F25" s="372">
        <f t="shared" si="1"/>
        <v>-2.9334716603411026E-2</v>
      </c>
      <c r="G25" s="234">
        <v>370.37023233333326</v>
      </c>
      <c r="H25" s="279">
        <v>364.04316536333334</v>
      </c>
      <c r="I25" s="370">
        <f t="shared" si="2"/>
        <v>-1.7083087185866375E-2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8" t="s">
        <v>34</v>
      </c>
      <c r="D26" s="218">
        <v>59.194246</v>
      </c>
      <c r="E26" s="279">
        <v>61.529833791666661</v>
      </c>
      <c r="F26" s="370">
        <f t="shared" si="1"/>
        <v>3.9456331476317219E-2</v>
      </c>
      <c r="G26" s="234">
        <v>614.90796834137495</v>
      </c>
      <c r="H26" s="279">
        <v>604.91217171416679</v>
      </c>
      <c r="I26" s="370">
        <f t="shared" si="2"/>
        <v>-1.6255760441957534E-2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8" t="s">
        <v>35</v>
      </c>
      <c r="D27" s="218">
        <v>133.41306694833867</v>
      </c>
      <c r="E27" s="279">
        <v>129.68920514867759</v>
      </c>
      <c r="F27" s="370">
        <f t="shared" si="1"/>
        <v>-2.7912271899896202E-2</v>
      </c>
      <c r="G27" s="234">
        <v>813.53451963837074</v>
      </c>
      <c r="H27" s="279">
        <v>723.55905639682624</v>
      </c>
      <c r="I27" s="370">
        <f t="shared" si="2"/>
        <v>-0.11059821196221653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8" t="s">
        <v>36</v>
      </c>
      <c r="D28" s="218">
        <v>57.665794767499996</v>
      </c>
      <c r="E28" s="279">
        <v>55.177598690000053</v>
      </c>
      <c r="F28" s="370">
        <f t="shared" si="1"/>
        <v>-4.3148561249038209E-2</v>
      </c>
      <c r="G28" s="234">
        <v>595.43222059000004</v>
      </c>
      <c r="H28" s="279">
        <v>673.47900725500006</v>
      </c>
      <c r="I28" s="370">
        <f t="shared" si="2"/>
        <v>0.13107585375152397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8" t="s">
        <v>37</v>
      </c>
      <c r="D29" s="218">
        <v>3.5062479999999998</v>
      </c>
      <c r="E29" s="306">
        <v>4.1723176666666664</v>
      </c>
      <c r="F29" s="370">
        <f t="shared" si="1"/>
        <v>0.18996650170400575</v>
      </c>
      <c r="G29" s="234">
        <v>33.572948000000004</v>
      </c>
      <c r="H29" s="279">
        <v>32.171247666666666</v>
      </c>
      <c r="I29" s="372">
        <f t="shared" si="2"/>
        <v>-4.1750886259179221E-2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8" t="s">
        <v>38</v>
      </c>
      <c r="D30" s="218">
        <v>12.231774000000001</v>
      </c>
      <c r="E30" s="279">
        <v>13.51933749</v>
      </c>
      <c r="F30" s="370">
        <f t="shared" si="1"/>
        <v>0.10526383908008752</v>
      </c>
      <c r="G30" s="234">
        <v>87.717772999999994</v>
      </c>
      <c r="H30" s="279">
        <v>90.537824997499996</v>
      </c>
      <c r="I30" s="370">
        <f t="shared" si="2"/>
        <v>3.2149151774521156E-2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8" t="s">
        <v>39</v>
      </c>
      <c r="D31" s="333">
        <v>1.2379000000000002</v>
      </c>
      <c r="E31" s="306">
        <v>1.1005480000000003</v>
      </c>
      <c r="F31" s="370">
        <f>+E31/D31-1</f>
        <v>-0.1109556506987639</v>
      </c>
      <c r="G31" s="332">
        <v>7.9307180000000024</v>
      </c>
      <c r="H31" s="306">
        <v>7.7038360000000026</v>
      </c>
      <c r="I31" s="370">
        <f t="shared" si="2"/>
        <v>-2.8608002453245684E-2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20" t="s">
        <v>40</v>
      </c>
      <c r="D32" s="211">
        <v>28.584731333333327</v>
      </c>
      <c r="E32" s="280">
        <v>1.6280069633333332</v>
      </c>
      <c r="F32" s="373">
        <f t="shared" si="1"/>
        <v>-0.94304627374843031</v>
      </c>
      <c r="G32" s="235">
        <v>145.96887433333333</v>
      </c>
      <c r="H32" s="280">
        <v>26.496454460833338</v>
      </c>
      <c r="I32" s="373">
        <f t="shared" si="2"/>
        <v>-0.81847873677283933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18" t="s">
        <v>106</v>
      </c>
      <c r="D33" s="111">
        <f>SUM(D8:D32)</f>
        <v>4713.1937837959276</v>
      </c>
      <c r="E33" s="281">
        <f>SUM(E8:E32)</f>
        <v>4440.594724993507</v>
      </c>
      <c r="F33" s="116">
        <f>+E33/D33-1</f>
        <v>-5.7837439177574779E-2</v>
      </c>
      <c r="G33" s="236">
        <f>SUM(G8:G32)</f>
        <v>33119.495509013999</v>
      </c>
      <c r="H33" s="281">
        <f>SUM(H8:H32)</f>
        <v>29419.717323526813</v>
      </c>
      <c r="I33" s="237">
        <f>+H33/G33-1</f>
        <v>-0.1117099801378385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128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34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1993.0235845469444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838.56408751446975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334.91820925197737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181.73468991916653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23</v>
      </c>
      <c r="O48" s="53">
        <v>153.81204863416667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35</v>
      </c>
      <c r="O49" s="53">
        <v>129.68920514867759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28</v>
      </c>
      <c r="O50" s="52">
        <v>109.5380073309021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26</v>
      </c>
      <c r="O51" s="53">
        <v>106.13550811333332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18</v>
      </c>
      <c r="O52" s="53">
        <v>98.775503997415427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91.194961557055791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25</v>
      </c>
      <c r="O54" s="53">
        <v>88.699791493333365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22</v>
      </c>
      <c r="O55" s="52">
        <v>82.984974144458249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34</v>
      </c>
      <c r="O56" s="53">
        <v>61.529833791666661</v>
      </c>
      <c r="P56" s="8"/>
      <c r="S56" s="91"/>
    </row>
    <row r="57" spans="3:19">
      <c r="N57" s="51" t="s">
        <v>36</v>
      </c>
      <c r="O57" s="52">
        <v>55.177598690000053</v>
      </c>
      <c r="S57" s="91"/>
    </row>
    <row r="58" spans="3:19">
      <c r="N58" s="51" t="s">
        <v>33</v>
      </c>
      <c r="O58" s="52">
        <v>53.653735468333323</v>
      </c>
      <c r="S58" s="91"/>
    </row>
    <row r="59" spans="3:19">
      <c r="N59" s="51" t="s">
        <v>31</v>
      </c>
      <c r="O59" s="52">
        <v>27.62510987395595</v>
      </c>
      <c r="S59" s="91"/>
    </row>
    <row r="60" spans="3:19">
      <c r="N60" s="51" t="s">
        <v>38</v>
      </c>
      <c r="O60" s="52">
        <v>13.51933749</v>
      </c>
      <c r="S60" s="91"/>
    </row>
    <row r="61" spans="3:19">
      <c r="N61" s="51" t="s">
        <v>29</v>
      </c>
      <c r="O61" s="52">
        <v>4.6351344566666688</v>
      </c>
      <c r="S61" s="91"/>
    </row>
    <row r="62" spans="3:19">
      <c r="N62" s="51" t="s">
        <v>19</v>
      </c>
      <c r="O62" s="52">
        <v>4.3459420860331734</v>
      </c>
      <c r="S62" s="91"/>
    </row>
    <row r="63" spans="3:19">
      <c r="N63" s="50" t="s">
        <v>37</v>
      </c>
      <c r="O63" s="53">
        <v>4.1723176666666664</v>
      </c>
      <c r="S63" s="91"/>
    </row>
    <row r="64" spans="3:19">
      <c r="N64" s="50" t="s">
        <v>17</v>
      </c>
      <c r="O64" s="53">
        <v>3.1553046134020781</v>
      </c>
      <c r="S64" s="91"/>
    </row>
    <row r="65" spans="6:19">
      <c r="N65" s="50" t="s">
        <v>40</v>
      </c>
      <c r="O65" s="53">
        <v>1.6280069633333332</v>
      </c>
      <c r="S65" s="91"/>
    </row>
    <row r="66" spans="6:19">
      <c r="N66" s="50" t="s">
        <v>39</v>
      </c>
      <c r="O66" s="53">
        <v>1.1005480000000003</v>
      </c>
      <c r="S66" s="91"/>
    </row>
    <row r="67" spans="6:19">
      <c r="N67" s="51" t="s">
        <v>21</v>
      </c>
      <c r="O67" s="52">
        <v>0.88401647404924466</v>
      </c>
      <c r="S67" s="91"/>
    </row>
    <row r="68" spans="6:19">
      <c r="N68" s="9" t="s">
        <v>32</v>
      </c>
      <c r="O68" s="52">
        <v>9.7267767500000005E-2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Dora</cp:lastModifiedBy>
  <cp:lastPrinted>2019-06-07T20:06:27Z</cp:lastPrinted>
  <dcterms:created xsi:type="dcterms:W3CDTF">2018-08-23T14:00:28Z</dcterms:created>
  <dcterms:modified xsi:type="dcterms:W3CDTF">2020-08-30T07:31:02Z</dcterms:modified>
</cp:coreProperties>
</file>